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13170" windowHeight="8490" activeTab="36"/>
  </bookViews>
  <sheets>
    <sheet name="งบทดลองหลังปรับปรุง" sheetId="1" r:id="rId1"/>
    <sheet name="งบแสดงฐานะการเงิน1" sheetId="2" r:id="rId2"/>
    <sheet name="หมายเหตุ 1" sheetId="3" r:id="rId3"/>
    <sheet name="หมายเหตุ2งบทรัพย์สิน" sheetId="4" r:id="rId4"/>
    <sheet name="งบทรัพย์สินใหม่" sheetId="5" r:id="rId5"/>
    <sheet name="เงินฝากธนาคาร" sheetId="6" r:id="rId6"/>
    <sheet name="ลูกหนี้เงินยืม" sheetId="7" r:id="rId7"/>
    <sheet name="ลูกหนี้รายได้อื่น ๆ" sheetId="8" r:id="rId8"/>
    <sheet name="ลูกหนี้เงินทุนเศรษฐกิจชุมชน" sheetId="9" r:id="rId9"/>
    <sheet name="ลูกหนี้อื่น ๆ" sheetId="10" r:id="rId10"/>
    <sheet name="ลูกหนี้เงินยืมเงินสะสม" sheetId="11" r:id="rId11"/>
    <sheet name="รายจ่ายค้างจ่าย" sheetId="12" r:id="rId12"/>
    <sheet name="ฎีกาค้างจ่าย" sheetId="13" r:id="rId13"/>
    <sheet name="เงินรับฝาก" sheetId="14" r:id="rId14"/>
    <sheet name="เจ้าหนี้เงินกู้" sheetId="15" r:id="rId15"/>
    <sheet name="เงินสะสม (แบบใหม่)" sheetId="16" r:id="rId16"/>
    <sheet name="รายละเอียดแนบท้าย หมายเหตุ 21" sheetId="17" r:id="rId17"/>
    <sheet name="แนบท้ายหมายเหตุ 22" sheetId="18" r:id="rId18"/>
    <sheet name="งบแสดงจากเงินรายรับ" sheetId="19" r:id="rId19"/>
    <sheet name="งบแสดงจากเงินรายรับและสะสม" sheetId="20" r:id="rId20"/>
    <sheet name="งบแสดงจากเงินทุนสำรองเงินสะสม" sheetId="21" r:id="rId21"/>
    <sheet name="งบแสดงจากเงินทุนสำรองเงินสะสมแล" sheetId="22" r:id="rId22"/>
    <sheet name="จ่ายจากเงินสะสม" sheetId="23" r:id="rId23"/>
    <sheet name="จ่ายจากเงินทุนสำรองจ่าย" sheetId="24" r:id="rId24"/>
    <sheet name="งบรับ-จ่ายรวมเงินอุดหนุน" sheetId="25" r:id="rId25"/>
    <sheet name="สรุปรายจ่ายตามงบประมาณ " sheetId="26" r:id="rId26"/>
    <sheet name="รายจ่ายตามแผนงานรวม" sheetId="27" r:id="rId27"/>
    <sheet name="แผนงานงบกลาง" sheetId="28" r:id="rId28"/>
    <sheet name="แผนบริหารงานทั่วไป" sheetId="29" r:id="rId29"/>
    <sheet name="การรักษาความสงบภายใน" sheetId="30" r:id="rId30"/>
    <sheet name="แผนการศึกษา" sheetId="31" r:id="rId31"/>
    <sheet name="สาธารณสุข" sheetId="32" r:id="rId32"/>
    <sheet name="สังคมสงเคราะห์" sheetId="33" r:id="rId33"/>
    <sheet name="เคหะและชุมชน" sheetId="34" r:id="rId34"/>
    <sheet name="สร้างความเข้มแข็งของชุมชน" sheetId="35" r:id="rId35"/>
    <sheet name="ศาสนาวัฒนธรรม" sheetId="36" r:id="rId36"/>
    <sheet name="การเกษตร" sheetId="37" r:id="rId37"/>
    <sheet name="Sheet2" sheetId="38" r:id="rId38"/>
    <sheet name="กระดาษทำการ 61" sheetId="39" r:id="rId39"/>
    <sheet name="เงินทุนสำรองเงินสะสม" sheetId="40" r:id="rId40"/>
    <sheet name="Sheet3" sheetId="41" r:id="rId41"/>
  </sheets>
  <externalReferences>
    <externalReference r:id="rId44"/>
    <externalReference r:id="rId45"/>
  </externalReferences>
  <definedNames>
    <definedName name="_xlnm.Print_Titles" localSheetId="1">'งบแสดงฐานะการเงิน1'!$1:$4</definedName>
    <definedName name="_xlnm.Print_Titles" localSheetId="15">'เงินสะสม (แบบใหม่)'!$1:$4</definedName>
    <definedName name="_xlnm.Print_Titles" localSheetId="11">'รายจ่ายค้างจ่าย'!$1:$7</definedName>
    <definedName name="_xlnm.Print_Titles" localSheetId="16">'รายละเอียดแนบท้าย หมายเหตุ 21'!$1:$8</definedName>
    <definedName name="_xlnm.Print_Titles" localSheetId="25">'สรุปรายจ่ายตามงบประมาณ '!$4:$5</definedName>
    <definedName name="_xlnm.Print_Titles" localSheetId="3">'หมายเหตุ2งบทรัพย์สิน'!$4:$6</definedName>
  </definedNames>
  <calcPr fullCalcOnLoad="1"/>
</workbook>
</file>

<file path=xl/sharedStrings.xml><?xml version="1.0" encoding="utf-8"?>
<sst xmlns="http://schemas.openxmlformats.org/spreadsheetml/2006/main" count="2767" uniqueCount="1145">
  <si>
    <t>งบแสดงฐานะการเงิน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</si>
  <si>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</si>
  <si>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</si>
  <si>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</si>
  <si>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</si>
  <si>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ก.ส.ท.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</si>
  <si>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</si>
  <si>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</si>
  <si>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</si>
  <si>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 ๆ</t>
  </si>
  <si>
    <t>ลูกหนี้อื่น ๆ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</si>
  <si>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</si>
  <si>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</si>
  <si>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</si>
  <si>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</si>
  <si>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</si>
  <si>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</si>
  <si>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</si>
  <si>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หมายเหตุ</t>
  </si>
  <si>
    <t>รวมสินทรัพย์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</si>
  <si>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</si>
  <si>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</si>
  <si>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</si>
  <si>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</si>
  <si>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</si>
  <si>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</si>
  <si>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</si>
  <si>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</si>
  <si>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</si>
  <si>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</si>
  <si>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</si>
  <si>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หนี้สินไม่หมุนเวียนอื่นๆ</t>
  </si>
  <si>
    <t>รวมหนี้สินไม่หมุนเวียน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</si>
  <si>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</si>
  <si>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</si>
  <si>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</si>
  <si>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</si>
  <si>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</si>
  <si>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</si>
  <si>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</si>
  <si>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</si>
  <si>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</si>
  <si>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</si>
  <si>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</si>
  <si>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</si>
  <si>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>ข.สังหาริมทรัพย์</t>
  </si>
  <si>
    <t xml:space="preserve">     1.ครุภัณฑ์ยานพาหนะและขนส่ง</t>
  </si>
  <si>
    <t xml:space="preserve">     2.ครุภัณฑ์สำนักงาน</t>
  </si>
  <si>
    <t xml:space="preserve">     3.ครุภัณฑ์การเกษตร</t>
  </si>
  <si>
    <t xml:space="preserve">     4.ครุภัณฑ์ไฟฟ้าและวิทยุ</t>
  </si>
  <si>
    <t xml:space="preserve">     5.ครุภัณฑ์สำรวจ</t>
  </si>
  <si>
    <t xml:space="preserve">     6.ครุภัณฑ์งานบ้านงานครัว</t>
  </si>
  <si>
    <t xml:space="preserve">     7.ครุภัณฑ์โฆษณาและเผยแพร่</t>
  </si>
  <si>
    <t xml:space="preserve">     8.ครุภัณฑ์ดับเพลิง</t>
  </si>
  <si>
    <t xml:space="preserve">     9.ครุภัณฑ์วิทยาศาสตร์หรือการแพทย์</t>
  </si>
  <si>
    <t xml:space="preserve">     10.ครุภัณฑ์การศึกษา</t>
  </si>
  <si>
    <t xml:space="preserve">     11.ครุภัณฑ์คอมพิวเตอร์</t>
  </si>
  <si>
    <t xml:space="preserve">     13.ครุภัณฑ์ก่อสร้าง</t>
  </si>
  <si>
    <t>รายได้</t>
  </si>
  <si>
    <t>เงินกู้</t>
  </si>
  <si>
    <t>รวม</t>
  </si>
  <si>
    <t>หมายเหตุ 3 เงินสดและเงินฝากธนาคาร</t>
  </si>
  <si>
    <t>หมายเหตุประกอบงบแสดงฐานะการเงิน</t>
  </si>
  <si>
    <t>ลำดับที่</t>
  </si>
  <si>
    <t>รายการ</t>
  </si>
  <si>
    <t>จำนวนเงิน/บาท</t>
  </si>
  <si>
    <t>รวมเป็นเงินทั้งสิ้น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</si>
  <si>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</si>
  <si>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</si>
  <si>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</si>
  <si>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</si>
  <si>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</si>
  <si>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รวมทั้งสิ้น</t>
  </si>
  <si>
    <t>ลูกหนี้ค่าน้ำประปา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</si>
  <si>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</si>
  <si>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</si>
  <si>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</si>
  <si>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</si>
  <si>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</si>
  <si>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</si>
  <si>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งบประมาณ</t>
  </si>
  <si>
    <t>บริหารงานทั่วไป</t>
  </si>
  <si>
    <t>ค่าตอบแทน</t>
  </si>
  <si>
    <t>เคหะและชุมชน</t>
  </si>
  <si>
    <t>สาธารณสุข</t>
  </si>
  <si>
    <t>บริหารทั่วไปเกี่ยว</t>
  </si>
  <si>
    <t>กับสาธารณสุข</t>
  </si>
  <si>
    <t xml:space="preserve"> "</t>
  </si>
  <si>
    <t>การศึกษา</t>
  </si>
  <si>
    <t>ค่าวัสดุ</t>
  </si>
  <si>
    <t>ที่ดินและสิ่งก่อสร้าง</t>
  </si>
  <si>
    <t>เงินมัดจำประกันสัญญา</t>
  </si>
  <si>
    <t xml:space="preserve">                    รับจริงสูงกว่าจ่ายจริง</t>
  </si>
  <si>
    <t xml:space="preserve">                    เงินทุนสำรองเงินสะสม 25%</t>
  </si>
  <si>
    <t>บวก   เพิ่มระหว่างปี</t>
  </si>
  <si>
    <t xml:space="preserve">                    รายจ่ายค้างจ่ายเหลือจ่าย</t>
  </si>
  <si>
    <t>หัก    ลดระหว่างปี</t>
  </si>
  <si>
    <t xml:space="preserve">                    จ่ายขาดเงินสะสม</t>
  </si>
  <si>
    <t xml:space="preserve">                   2. ลูกหนี้-ภาษีบำรุงท้องที่</t>
  </si>
  <si>
    <t>จำนวนที่ได้รับอนุมัติ</t>
  </si>
  <si>
    <t>ก่อหนี้ผูกพัน</t>
  </si>
  <si>
    <t>เบิกจ่ายแล้ว</t>
  </si>
  <si>
    <t>ยังไม่ได้ก่อหนี้</t>
  </si>
  <si>
    <t>ลูกหนี้เงินสะสม</t>
  </si>
  <si>
    <t>เจ้าหนี้เงินสะสม</t>
  </si>
  <si>
    <t>รายงานรายจ่ายในการดำเนินงานที่จ่ายจากเงินรายรับตามแผนงานรวม</t>
  </si>
  <si>
    <t>ประมาณการ</t>
  </si>
  <si>
    <t>การรักษาความสงบภายใน</t>
  </si>
  <si>
    <t>สังคมสงเคราะห์</t>
  </si>
  <si>
    <t>สร้างความเข้มแข็งของชุมชน</t>
  </si>
  <si>
    <t>การศาสนาวัฒนธรรมและนันทนาการ</t>
  </si>
  <si>
    <t>การเกษตร</t>
  </si>
  <si>
    <t>การพาณิชย์</t>
  </si>
  <si>
    <t>งบกลาง</t>
  </si>
  <si>
    <t>รายจ่าย</t>
  </si>
  <si>
    <t>เงินเดือน  (ฝ่ายการเมือง)</t>
  </si>
  <si>
    <t>ค่าสาธารณูปโภค</t>
  </si>
  <si>
    <t xml:space="preserve">เงินอุดหนุน </t>
  </si>
  <si>
    <t>รายจ่ายอื่น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</si>
  <si>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</si>
  <si>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</si>
  <si>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</si>
  <si>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</si>
  <si>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</si>
  <si>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ภาษีที่ได้รับจัดสรร</t>
  </si>
  <si>
    <t>เงินอุดหนุนทั่วไป</t>
  </si>
  <si>
    <t>รายรับสูงกว่ารายจ่าย</t>
  </si>
  <si>
    <t xml:space="preserve">เงินเดือน (ฝ่ายประจำ) </t>
  </si>
  <si>
    <t xml:space="preserve">ค่าตอบแทน  </t>
  </si>
  <si>
    <t xml:space="preserve">ค่าใช้สอย       </t>
  </si>
  <si>
    <t xml:space="preserve">ค่าวัสดุ            </t>
  </si>
  <si>
    <t xml:space="preserve">งบกลาง         </t>
  </si>
  <si>
    <t xml:space="preserve">ค่าครุภัณฑ์  </t>
  </si>
  <si>
    <t xml:space="preserve">ค่าที่ดินและสิ่งก่อสร้าง  </t>
  </si>
  <si>
    <t>งบ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</si>
  <si>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</si>
  <si>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</si>
  <si>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</si>
  <si>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</si>
  <si>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งบเงินอุดหนุน</t>
  </si>
  <si>
    <t>รายงานรายจ่ายในการดำเนินงานที่จ่ายจากเงินสะสม</t>
  </si>
  <si>
    <t>งบแสดงผลการดำเนินงานที่จ่ายจากเงินรายรับ</t>
  </si>
  <si>
    <t>เงินอุดหนุนระบุวัตถุประสงค์</t>
  </si>
  <si>
    <t>งบแสดงผลการดำเนินงานที่จ่ายจากเงินรายรับและเงินสะสม</t>
  </si>
  <si>
    <t>รายงานรายจ่ายในการดำเนินงานที่จ่ายจากเงินรายรับตามแผนงาน......บริหารงานทั่วไป.......</t>
  </si>
  <si>
    <t>งานบริหารทั่วไป</t>
  </si>
  <si>
    <t>งานวางแผนสถิติและวิชาการ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</si>
  <si>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</si>
  <si>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รายงานรายจ่ายในการดำเนินงานที่จ่ายจากเงินรายรับตามแผนงาน......งบกลาง.......</t>
  </si>
  <si>
    <t>รายงานรายจ่ายในการดำเนินงานที่จ่ายจากเงินรายรับตามแผนงาน......การรักษาความสงบภายใน.......</t>
  </si>
  <si>
    <t>งานบริหารทั่วไปเกี่ยวกับการรักษาความสงบภายใน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</si>
  <si>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</si>
  <si>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</si>
  <si>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รายงานรายจ่ายในการดำเนินงานที่จ่ายจากเงินรายรับตามแผนงาน......การศึกษา.......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</si>
  <si>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</si>
  <si>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</si>
  <si>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งานศึกษาไม่กำหนดระดับ</t>
  </si>
  <si>
    <t>รายงานรายจ่ายในการดำเนินงานที่จ่ายจากเงินรายรับตามแผนงาน......สังคมสงเคราะห์.......</t>
  </si>
  <si>
    <t>งานบริหารทั่วไปเกี่ยวกับสังคมสงเคราะห์</t>
  </si>
  <si>
    <t>งานสวัสดิการสังคมและสงเคาะห์</t>
  </si>
  <si>
    <t>รายงานรายจ่ายในการดำเนินงานที่จ่ายจากเงินรายรับตามแผนงาน......เคหะและชุมชน.......</t>
  </si>
  <si>
    <t>งานบริหารทั่วไปเกี่ยวกับเคหะชุมชน</t>
  </si>
  <si>
    <t>งานไฟฟ้าถนน</t>
  </si>
  <si>
    <t>รายงานรายจ่ายในการดำเนินงานที่จ่ายจากเงินรายรับตามแผนงาน......สร้างความเข้มแข็งของชุมชน.......</t>
  </si>
  <si>
    <t>งานบริหารทั่วไปเกี่ยวกับการสร้างความเข้มแข็งของชุมชน</t>
  </si>
  <si>
    <t>งานส่งเสริมและสนับสนุนความเข้มแข็งชุมชน</t>
  </si>
  <si>
    <t>รายงานรายจ่ายในการดำเนินงานที่จ่ายจากเงินรายรับตามแผนงาน......การศาสนาวัฒนธรรมและนันทนาการ.......</t>
  </si>
  <si>
    <t>งานศาสนาและวัฒนธรรมท้องถิ่น</t>
  </si>
  <si>
    <t>รายงานรายจ่ายในการดำเนินงานที่จ่ายจากเงินรายรับตามแผนงาน......การเกษตร.......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</si>
  <si>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</si>
  <si>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</si>
  <si>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รายงานรายจ่ายในการดำเนินงานที่จ่ายจากเงินรายรับตามแผนงาน......สาธารณสุข.......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</si>
  <si>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</si>
  <si>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</si>
  <si>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งานป้องกันและแก้ไขโรคติดต่อ</t>
  </si>
  <si>
    <t>งบรายรับ - รายจ่าย</t>
  </si>
  <si>
    <t>รับจริง</t>
  </si>
  <si>
    <t>+</t>
  </si>
  <si>
    <t>สูง/ต่ำ</t>
  </si>
  <si>
    <t>-</t>
  </si>
  <si>
    <t>ก.รายได้ภาษีอากร</t>
  </si>
  <si>
    <t>1.หมวดภาษีอากร</t>
  </si>
  <si>
    <t xml:space="preserve">1.1 ภาษีบำรุงท้องที่  </t>
  </si>
  <si>
    <t xml:space="preserve"> +</t>
  </si>
  <si>
    <t>1.2 ภาษีโรงเรือนและที่ดิน</t>
  </si>
  <si>
    <t xml:space="preserve"> -</t>
  </si>
  <si>
    <t>1.3 ภาษีป้าย</t>
  </si>
  <si>
    <t>1.10 ค่าภาคหลวงแร่</t>
  </si>
  <si>
    <t>1.11 ค่าภาคหลวงปิโตรเลี่ยม</t>
  </si>
  <si>
    <t>ข.รายได้ที่มิใช่ภาษีอากร</t>
  </si>
  <si>
    <t>1. หมวดค่าธรรมเนียม ค่าปรับและใบอนุญาต</t>
  </si>
  <si>
    <t>2.หมวดรายได้จากทรัพย์สิน</t>
  </si>
  <si>
    <t xml:space="preserve">2.1 ดอกเบี้ยเงินฝากธนาคาร </t>
  </si>
  <si>
    <t>3.หมวดรายได้จากสาธารณูปโภคและการพาณิชย์</t>
  </si>
  <si>
    <t>4. หมวดรายได้เบ็ดเตล็ด</t>
  </si>
  <si>
    <t>4.1 ค่าขายแบบแปลน</t>
  </si>
  <si>
    <t>ค.เงินช่วยเหลือ</t>
  </si>
  <si>
    <t>1. หมวดเงินอุดหนุน</t>
  </si>
  <si>
    <t>1.2 เงินอุดหนุนทั่วไประบุวัตถุประสงค์</t>
  </si>
  <si>
    <t>รวมรายรับทั้งสิ้น</t>
  </si>
  <si>
    <t>ก.รายจ่ายประจำ</t>
  </si>
  <si>
    <t>จ่ายจริง</t>
  </si>
  <si>
    <t>1. รายจ่ายงบกลาง</t>
  </si>
  <si>
    <t>รวมรายจ่ายงบกลาง</t>
  </si>
  <si>
    <t>2.หมวดเงินเดือน(ฝ่ายการเมือง)</t>
  </si>
  <si>
    <t>รวมหมวดเงินเดือน (ฝ่ายการเมือง)</t>
  </si>
  <si>
    <t>3.หมวดเงินเดือน(ฝ่ายประจำ)</t>
  </si>
  <si>
    <t>รวมหมวดเงินเดือน (ฝ่ายประจำ)</t>
  </si>
  <si>
    <t>4. หมวดค่าตอบแทน ใช้สอยและวัสดุ</t>
  </si>
  <si>
    <t>4.1 ค่าตอบแทน</t>
  </si>
  <si>
    <t xml:space="preserve"> - ค่าตอบแทนผู้ปฏิบัติราชการอันเป็นประโยชน์ต่อองค์กรปกครองส่วนท้องถิ่น</t>
  </si>
  <si>
    <t xml:space="preserve"> - ค่าตอบแทนการปฏิบัติงานนอกเวลา</t>
  </si>
  <si>
    <t xml:space="preserve"> - ค่าเช่าบ้าน</t>
  </si>
  <si>
    <t xml:space="preserve"> - เงินช่วยเหลือการศึกษาบุตร</t>
  </si>
  <si>
    <t>รวมหมวดค่าตอบแทน</t>
  </si>
  <si>
    <t>4.2 ค่าใช้สอย</t>
  </si>
  <si>
    <t xml:space="preserve"> - รายจ่ายเพื่อให้ได้มาซึ่งบริการ</t>
  </si>
  <si>
    <t xml:space="preserve"> - รายจ่ายเกี่ยวกับการรับรองและพิธีการ</t>
  </si>
  <si>
    <t xml:space="preserve"> - รายจ่ายเกี่ยวเนื่องกับการปฏิบัติราชการที่ไม้เข้าลักษณะรายจ่ายหมวดอื่นๆ</t>
  </si>
  <si>
    <t>รวมหมวดค่าใช้สอย</t>
  </si>
  <si>
    <t>4.3 หมวดค่าวัสดุ</t>
  </si>
  <si>
    <t xml:space="preserve"> - ประเภทค่าวัสดุสำนักงาน</t>
  </si>
  <si>
    <t xml:space="preserve"> - ประเภทค่าวัสดุงานบ้านงานครัว</t>
  </si>
  <si>
    <t xml:space="preserve"> - ประเภทค่าวัสดุคอมพิวเตอร์</t>
  </si>
  <si>
    <t xml:space="preserve"> - ประเภทค่าวัสดุโฆษณาและเผยแพร่</t>
  </si>
  <si>
    <t xml:space="preserve"> - ประเภทวัสดุเชื้อเพลิง และหล่อลื่น</t>
  </si>
  <si>
    <t xml:space="preserve"> - ประเภทจัดซื้ออาหารเสริม(นม)</t>
  </si>
  <si>
    <t xml:space="preserve"> - ประเภทวัสดุยานพาหนะและขนส่ง</t>
  </si>
  <si>
    <t xml:space="preserve"> - ประเภทวัสดุไฟฟ้าและวิทยุ</t>
  </si>
  <si>
    <t xml:space="preserve"> - ประเภทวัสดุก่อสร้าง</t>
  </si>
  <si>
    <t xml:space="preserve"> - ประเภทค่าวัสดุวิทยาศาสตร์และการแพทย์</t>
  </si>
  <si>
    <t>รวมหมวดค่าวัสดุ</t>
  </si>
  <si>
    <t>5. หมวดค่าสาธารณูปโภค</t>
  </si>
  <si>
    <t xml:space="preserve"> - ประเภทค่าไฟฟ้า</t>
  </si>
  <si>
    <t xml:space="preserve"> - ประเภทค่าโทรศัพท์</t>
  </si>
  <si>
    <t xml:space="preserve"> - ประเภทค่าไปรษณีย์ ค่าโทรเลข ค่าธนาณัติ</t>
  </si>
  <si>
    <t xml:space="preserve"> - ประเภทค่าบริการสื่อสารและโทรคมนาคม</t>
  </si>
  <si>
    <t>รวมหมวดค่าสาธารณูปโภค</t>
  </si>
  <si>
    <t>6. หมวดเงินอุดหนุน</t>
  </si>
  <si>
    <t>รวมหมวดเงินอุดหนุน</t>
  </si>
  <si>
    <t>7. หมวดรายจ่ายอื่น</t>
  </si>
  <si>
    <t xml:space="preserve"> รวมหมวดรายจ่ายอื่น</t>
  </si>
  <si>
    <t>2. รายจ่ายเพื่อการลงทุน</t>
  </si>
  <si>
    <t xml:space="preserve"> - ค่าครุภัณฑ์สำนักงาน</t>
  </si>
  <si>
    <t>รวมหมวดค่าครุภัณฑ์</t>
  </si>
  <si>
    <t xml:space="preserve"> - ค่าที่ดินและสิ่งก่อสร้าง </t>
  </si>
  <si>
    <t>รวมหมวดค่าที่ดินและสิ่งก่อสร้าง</t>
  </si>
  <si>
    <t>รวมรายจ่ายทั้งสิ้น</t>
  </si>
  <si>
    <t>รับจริงสูงกว่าจ่ายจริง</t>
  </si>
  <si>
    <t>เดบิท</t>
  </si>
  <si>
    <t>เครดิต</t>
  </si>
  <si>
    <t>ชื่อบัญชี</t>
  </si>
  <si>
    <t>รหัสบัญชี</t>
  </si>
  <si>
    <t>110201</t>
  </si>
  <si>
    <t>110203</t>
  </si>
  <si>
    <t>110602</t>
  </si>
  <si>
    <t>งบทดลอง  (หลังปิดบัญชี)</t>
  </si>
  <si>
    <t>เงินสด</t>
  </si>
  <si>
    <t>021</t>
  </si>
  <si>
    <t xml:space="preserve">เงินรับฝาก           </t>
  </si>
  <si>
    <t xml:space="preserve">รายจ่ายค้างจ่าย   </t>
  </si>
  <si>
    <t>งบทรัพย์สิน</t>
  </si>
  <si>
    <t>(รายการรับเพิ่มและจำหน่าย)</t>
  </si>
  <si>
    <t>จำหน่าย</t>
  </si>
  <si>
    <t>ปรับปรุงเพิ่ม</t>
  </si>
  <si>
    <t>ปรับปรุงลด</t>
  </si>
  <si>
    <t>หลังปรับปรุง</t>
  </si>
  <si>
    <t>อสังหาริมทรัพย์</t>
  </si>
  <si>
    <t>5.อาคารโรงครัว</t>
  </si>
  <si>
    <t>9. ศาลพระภูมิ</t>
  </si>
  <si>
    <t>รวมอสังหาริมทรัพย์</t>
  </si>
  <si>
    <t>สังหาริมทรัพย์</t>
  </si>
  <si>
    <t>1.ครุภัณฑ์ยานพาหนะและขนส่ง</t>
  </si>
  <si>
    <t>2.ครุภัณฑ์สำนักงาน</t>
  </si>
  <si>
    <t>3.ครุภัณฑ์การเกษตร</t>
  </si>
  <si>
    <t>4.ครุภัณฑ์การไฟฟ้าและวิทยุ</t>
  </si>
  <si>
    <t>5.ครุภัณฑ์สำรวจ</t>
  </si>
  <si>
    <t>6.ครุภัณฑ์งานบ้านงานครัว</t>
  </si>
  <si>
    <t>7.ครุภัณฑ์โฆษณาและเผยแพร่</t>
  </si>
  <si>
    <t>8.ครุภัณฑ์ดับเพลิง</t>
  </si>
  <si>
    <t>9.ครุภัณฑ์วิทยาศาสตร์หรือการแพทย์</t>
  </si>
  <si>
    <t>10.ครุภัณฑ์การศึกษา</t>
  </si>
  <si>
    <t>13.ครุภัณฑ์ก่อสร้าง</t>
  </si>
  <si>
    <t>รวมสังหาริมทรัพย์</t>
  </si>
  <si>
    <t>"</t>
  </si>
  <si>
    <t>รายละเอียดการคำนวณเงินทุนสำรองเงินสะสม</t>
  </si>
  <si>
    <t>รายรับจริงสูงกว่ารายจ่ายจริง</t>
  </si>
  <si>
    <t>เงินทุนสำรองเงินสะสม 25%</t>
  </si>
  <si>
    <t xml:space="preserve">รายจ่ายจริง ประกอบงบทดลองและรายรับ - รายจ่ายเงินสด                                                                                                                                                                                               </t>
  </si>
  <si>
    <t>ตรวจแล้วใส่พื้นสีเหลือง</t>
  </si>
  <si>
    <t>หน่วยงาน</t>
  </si>
  <si>
    <t>คงเหลือ</t>
  </si>
  <si>
    <t>ต.ค</t>
  </si>
  <si>
    <t>พ.ย</t>
  </si>
  <si>
    <t>ธ.ค.</t>
  </si>
  <si>
    <t>ม.ค.</t>
  </si>
  <si>
    <t>ก.พ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</si>
  <si>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</si>
  <si>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</si>
  <si>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</si>
  <si>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</si>
  <si>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</si>
  <si>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</si>
  <si>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</si>
  <si>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ถึงปัจจุบัน</t>
  </si>
  <si>
    <t xml:space="preserve">หมวดรายจ่ายงบกลาง        </t>
  </si>
  <si>
    <t>สำนักปลัด</t>
  </si>
  <si>
    <t>แผนงานงบกลาง  งาน งบกลาง</t>
  </si>
  <si>
    <t xml:space="preserve">                                                ''</t>
  </si>
  <si>
    <t>หมวดรายจ่ายงบกลางทั้งสิ้น</t>
  </si>
  <si>
    <t xml:space="preserve">    หมวดเงินเดือน (ฝ่ายการเมือง)    </t>
  </si>
  <si>
    <t>''</t>
  </si>
  <si>
    <t>5. เงินค่าตอบแทนสมาชิก สภา อปท.</t>
  </si>
  <si>
    <t xml:space="preserve">       เงินเดือน(ฝ่ายประจำ)</t>
  </si>
  <si>
    <t>1.  เงินเดือนพนักงาน</t>
  </si>
  <si>
    <t>กองคลัง</t>
  </si>
  <si>
    <t>แผนงานบริหารงานทั่วไป งานบริหารงานคลัง</t>
  </si>
  <si>
    <t>1.เงินเดือนพนักงาน</t>
  </si>
  <si>
    <t xml:space="preserve">2.เงินประจำตำแหน่ง </t>
  </si>
  <si>
    <t xml:space="preserve">    หมวดเงินเดือนทั้งสิ้น    </t>
  </si>
  <si>
    <t>หมวดค่าตอบแทน</t>
  </si>
  <si>
    <t xml:space="preserve">1.  ค่าตอบแทนผู้ปฏิบัติราชการอันเป็นประโยชน์แก่ อปท.   </t>
  </si>
  <si>
    <t>1. ค่าตอบแทนผู้ปฏิบัติราชการอันเป็นประโยชน์แก่องค์กรปกครองส่วนท้องถิ่น</t>
  </si>
  <si>
    <t>แผนงาน สาธารณสุข งานบริหารทั่วไปเกี่ยวกับสาธารณสุข</t>
  </si>
  <si>
    <t xml:space="preserve">    หมวดค่าตอบแทนทั้งสิ้น    </t>
  </si>
  <si>
    <t>หมวดค่าใช้สอย</t>
  </si>
  <si>
    <t>1.  รายจ่ายเพื่อให้ได้มาซึ่งการบริการ</t>
  </si>
  <si>
    <t>แผนงานบริหารงานทั่วไป งานบริหารงานทั่วไป</t>
  </si>
  <si>
    <t>แผนงานการเกษตร งานส่งเสริมการเกษตร</t>
  </si>
  <si>
    <t>ผง.บริหารทั่วไป  ง. บริหารงานคลัง</t>
  </si>
  <si>
    <t>2.  รายจ่ายเกี่ยวเนื่องกับการปฎิบัติราชการที่ไม่เข้าลักษณะรายจ่ายหมวดอื่นๆ</t>
  </si>
  <si>
    <t>1.ค่ารายจ่ายเพื่อให้ได้มาซึ่งบริการ</t>
  </si>
  <si>
    <t>แผนงาน สาธารณสุข งานบริหารทั่วไปเกี่บวกับสาธารณสุข</t>
  </si>
  <si>
    <t>2.ค่ารายจ่ายเกี่ยวกับการรับรองและพิธีการ</t>
  </si>
  <si>
    <t>รวมหมวดค่าใช้สอยทั้งสิ้น</t>
  </si>
  <si>
    <t>หมวดค่าวัสดุ</t>
  </si>
  <si>
    <t>1.  ค่าวัสดุสำนักงาน</t>
  </si>
  <si>
    <t>ผง.บริหารทั่วไป ง.บริหารงานทั่วไป</t>
  </si>
  <si>
    <t>2.  ค่าวัสดุคอมพิวเตอร์</t>
  </si>
  <si>
    <t>4.  ค่าวัสดุน้ำมันเชื้อเพลิงและหล่อลื่น</t>
  </si>
  <si>
    <t>1.ค่าวัสดุสำนักงาน</t>
  </si>
  <si>
    <t>ผง.สาธารณสุข  ง.บริหารงานทั่วไปเกี่ยวกับสาธารณสุข</t>
  </si>
  <si>
    <t>2.ค่าวัสดุคอมพิวเตอร์</t>
  </si>
  <si>
    <t>รวมหมวดค่าวัสดุทั้งสิ้น</t>
  </si>
  <si>
    <t>หมวดค่าสาธารณูปโภค</t>
  </si>
  <si>
    <t>2. ค่าน้ำประปา</t>
  </si>
  <si>
    <t>รวมหมวดค่าสาธารณูปโภคทั้งสิ้น</t>
  </si>
  <si>
    <t>หมวดรายจ่ายอื่น</t>
  </si>
  <si>
    <t>รวมหมวดรายจ่ายอื่น</t>
  </si>
  <si>
    <t>หมวดอุดหนุน</t>
  </si>
  <si>
    <t>ผง.บริหารงานทั่วไป ง.บริหารงานทั่วไป</t>
  </si>
  <si>
    <t>รวมหมวดเงินอุดหนุนทั้งสิ้น</t>
  </si>
  <si>
    <t>รวมรายจ่ายประจำทั้งสิ้น</t>
  </si>
  <si>
    <t>รายจ่ายเพื่อการลงทุน (ค่าครุภัณฑ์สำนักงาน)</t>
  </si>
  <si>
    <t xml:space="preserve"> ค่าครุภัณฑ์สำนักงาน</t>
  </si>
  <si>
    <t xml:space="preserve">                                             ''</t>
  </si>
  <si>
    <t>ผง.บริหารงานทั่วไป ง.บริหารงานคลัง</t>
  </si>
  <si>
    <t>รวมหมวดครุภัณฑ์ทั้งสิ้น</t>
  </si>
  <si>
    <t>รวมรายได้ที่รัฐบาลจัดสรรให้</t>
  </si>
  <si>
    <t>รวมงานบริหารงานทั่วไปเกี่ยวกับสาธารณสุข</t>
  </si>
  <si>
    <t>องค์การบริหารส่วนตำบลบ้านกอก</t>
  </si>
  <si>
    <t>วัฒนธรรม</t>
  </si>
  <si>
    <t>แผนงานการศึกษา งานบริหารทั่วไปเกี่ยวกับการศึกษา</t>
  </si>
  <si>
    <t>ศาสนา และ</t>
  </si>
  <si>
    <t>1. รายจ่ายเพื่อให้ได้มาซึ่งบริการ</t>
  </si>
  <si>
    <t>2. รายจ่ายเกี่ยวกับการรับรองและพิธีการ</t>
  </si>
  <si>
    <t>3. รายจ่ายเกี่ยวกับการปฏิบัติราชการที่ไม่เข้าลักษณะรายจ่ายหมวดอื่น</t>
  </si>
  <si>
    <t>2. ค่าวัสดุไฟฟ้าและวิทยุ</t>
  </si>
  <si>
    <t>3. ค่าวัสดุกีฬา</t>
  </si>
  <si>
    <t>4. ค่าวัสดุคอมพิวเตอร์</t>
  </si>
  <si>
    <t>ศาสนาฯ</t>
  </si>
  <si>
    <t>แผนงานการศึกษา งานระดับก่อนวัยเรียน และประถมศึกษา</t>
  </si>
  <si>
    <t>แผนงานการศึกษา งานระดับก่อนวัยเรียนและประถมศึกษา</t>
  </si>
  <si>
    <t>1. อุดหนุนโรงเรียนบ้านมะเกลือโนนทอง</t>
  </si>
  <si>
    <t xml:space="preserve">   1.1 โครงการส่งเสริมโภชนาการอาหารกลางวัน</t>
  </si>
  <si>
    <t xml:space="preserve">   2.1 โครงการส่งเสริมโภชนาการอาหารกลางวัน</t>
  </si>
  <si>
    <t xml:space="preserve">   3.1 โครงการส่งเสริมโภชนาการอาหารกลางวัน</t>
  </si>
  <si>
    <t xml:space="preserve">   4.1 โครงการส่งเสริมโภชนาการอาหารกลางวัน</t>
  </si>
  <si>
    <t>แผนงานการศาสนา วัฒนธรรม และนันทนาการ</t>
  </si>
  <si>
    <t>งานกีฬา และนันทนาการ</t>
  </si>
  <si>
    <t>1. รายจ่ายเกี่ยวกับการรับรองและพิธีการ</t>
  </si>
  <si>
    <t>4. เงินเพิ่มต่างๆของพนักงานจ้าง</t>
  </si>
  <si>
    <t>4.ค่าบำรุงรักษาและซ่อมแซมทรัพย์สิน</t>
  </si>
  <si>
    <t>แผนงานเคหะและชุมชน งานกำจัดขยะมูลฝอยและสิ่งปฏิกูล</t>
  </si>
  <si>
    <t>3. รายจ่ายเพื่อบำรุงรักษาหรือซ่อมแซมทรัพย์สิน</t>
  </si>
  <si>
    <t>แผนงานสร้างความเข้มแข็งของชุมชน</t>
  </si>
  <si>
    <t>งานส่งเสริมและสนับสนุนความเข้มแข็งของชุมชน</t>
  </si>
  <si>
    <t>สังคม</t>
  </si>
  <si>
    <t>แผนงานสังคมสงเคราะห์ งานบริหารทั่วไปเกี่ยวกับสังคมสงเคราะห์</t>
  </si>
  <si>
    <t>1. เงินเดือนพนักงาน</t>
  </si>
  <si>
    <t>2. เงินประจำตำแหน่ง</t>
  </si>
  <si>
    <t>3.ค่าจ้างพนักงานจ้าง</t>
  </si>
  <si>
    <t>4. ค่าเช่าบ้าน</t>
  </si>
  <si>
    <t>แผนงานสังคมสงเคราะห์ งานบริการทั่วไปเกี่ยวกับสังคมสงเคราะห์</t>
  </si>
  <si>
    <t>งานส่งเสริมและสนับสนุนความเข็มแข็งของชุมชน</t>
  </si>
  <si>
    <t xml:space="preserve">แผนงานสร้างความเข้มแข็งของชุมชน </t>
  </si>
  <si>
    <t>1.อุดหนุนกลุ่มองค์กรสตรีตำบลบ้านกอก</t>
  </si>
  <si>
    <t>ส่วนส่งเสริม</t>
  </si>
  <si>
    <t>แผนงานการเกษตร งานอนุรักษ์แหล่งน้ำและป่าไม้</t>
  </si>
  <si>
    <t>1. ค่าวัสดุการเกษตร</t>
  </si>
  <si>
    <t>3.  ค่าเช่าบ้าน</t>
  </si>
  <si>
    <t>1. ค่าวัสดุสำนักงาน</t>
  </si>
  <si>
    <t>1. ค่าวัสดุไฟฟ้าและวิทยุ</t>
  </si>
  <si>
    <t>แผนงานเคหะและชุมชน  งานไฟฟ้า ถนน</t>
  </si>
  <si>
    <t>ส่วนสารธาณสุข</t>
  </si>
  <si>
    <t xml:space="preserve">1. อุดหนุนศูนย์สาธารณสุขมูลฐาน ม.1-ม.17 </t>
  </si>
  <si>
    <t>2. รายจ่ายเพื่อบำรุงรักษาหรือซ่อมแซมทรัพย์สิน</t>
  </si>
  <si>
    <t>แผนงานเคหะและชุมชน งานสวนสาธารณะ</t>
  </si>
  <si>
    <t>2. ค่าตอบแทนการปฏิบัติงานนอกเวลาราชการ</t>
  </si>
  <si>
    <t>3. เงินช่วยเหลือการศึกษาบุตร</t>
  </si>
  <si>
    <t>1.รายจ่ายเกี่ยวกับการรับรองและพิธีการ</t>
  </si>
  <si>
    <t>ผง.รักษาความสงบภายใน ง.ป้องกันภัยฝ่ายพลเรือนและระงับอัคคีภัย</t>
  </si>
  <si>
    <t xml:space="preserve">   1.3 โครงการจัดตั้งศูนย์รายงานสถานการจราจรและอยู่เวรยามช่วงเทศกาล</t>
  </si>
  <si>
    <t xml:space="preserve">   1.4 ค่าใช้จ่ายในการป้องกันและแก้ไขปัญหายาเสพติดการจัดระเบียบสังคม</t>
  </si>
  <si>
    <t xml:space="preserve">   1.5 ค่าใชจ่ายในกิจกรรม อาสาสมัครป้องกันภัยฝ่ายพลเรือน (อปพร.)</t>
  </si>
  <si>
    <t xml:space="preserve">   1.6 ค่าใช้จ่ายในการฝึกอบรมและฝึกทบทวน อปพร.</t>
  </si>
  <si>
    <t>3. เงินประจำตำแหน่ง</t>
  </si>
  <si>
    <t>2. ค่าตอบแทนการปฏิบัติงานนอกเวลา</t>
  </si>
  <si>
    <t>4.  เงินช่วยเหลือการศึกษาบุตร</t>
  </si>
  <si>
    <t>3. รายจ่ายเกี่ยวเนื่องกับการปฏิบัติราชการที่ไม่เข้าลักษณะรายจ่ายหมวดอื่นๆ</t>
  </si>
  <si>
    <t xml:space="preserve">   3.1 ค่าใช้จ่ายในการเดินทางไปราชการ (ค่าเดินทาง)ฯ</t>
  </si>
  <si>
    <t xml:space="preserve">   3.2 ค่าใช้จ่ายในการออกเอกสารสิทธิ์ที่ดิน โอนที่ดินฯ</t>
  </si>
  <si>
    <t xml:space="preserve"> 1.  อุดหนุนองค์การบริหารส่วนตำบลบ้านขาม</t>
  </si>
  <si>
    <t xml:space="preserve">   เงินฝากธนาคาร ธ.ก.ส. กระแสรายวัน เลขที่ 01112-5-00050-7</t>
  </si>
  <si>
    <t xml:space="preserve">   เงินฝากธนาคาร ธ.ก.ส.ออมทรัพย์ เลขที่ 01112-2-54362-0</t>
  </si>
  <si>
    <t xml:space="preserve">   เงินฝากธนาคาร ธ.ก.ส.ออมทรัพย์ เลขที่ 01112-2-69027-8</t>
  </si>
  <si>
    <t xml:space="preserve">   เงินฝากธนาคารกรุงไทย กระแสรายวัน เลขที่ 318-6-01052-7</t>
  </si>
  <si>
    <t xml:space="preserve">  เงินฝากธนาคารกรุงไทย กระแสรายวัน เลขที่ 318-6-01257-0</t>
  </si>
  <si>
    <t xml:space="preserve">   เงินฝากธนาคารกรุงไทย กระแสรายวัน เลขที่ 981-3-46601-4</t>
  </si>
  <si>
    <t xml:space="preserve">   เงินฝากธนาคารกรุงไทย ออมทรัพย์ เลขที่ 318-1-55840-0</t>
  </si>
  <si>
    <t xml:space="preserve">   เงินฝากธนาคารกรุงไทย ออมทรัพย์ เลขที่ 318-0-27020-9</t>
  </si>
  <si>
    <t xml:space="preserve">   เงินฝากธนาคารกรุงไทย ออมทรัพย์ เลขที่ 981-4-52961-3</t>
  </si>
  <si>
    <t xml:space="preserve">   เงินฝากธนาคารออมสิน ออมทรัพย์ 051110336529</t>
  </si>
  <si>
    <t xml:space="preserve">รายจ่ายจริง ประกอบงบทดลองและรายรับ - รายจ่ายเงินสด   (งบประมาณที่มิได้ตราในข้อบัญญัติ)                                                                                                                                                                                            </t>
  </si>
  <si>
    <t>แผนงานสังคมสงเคราะห์ งานสวัสดิการสังคมสงเคราะห์</t>
  </si>
  <si>
    <t>รวมเงินเดือน</t>
  </si>
  <si>
    <t>รวมค่าจ้างชั่วคราว</t>
  </si>
  <si>
    <t>เงินฝากธนาคารกรุงไทย ออมทรัพย์ เลขที่ 318-1-55840-0</t>
  </si>
  <si>
    <t>เงินฝากธนาคารกรุงไทย ออมทรัพย์ เลขที่ 318-0-27020-9</t>
  </si>
  <si>
    <t>เงินฝากธนาคารกรุงไทย ออมทรัพย์ เลขที่ 981-4-52961-3</t>
  </si>
  <si>
    <t>เงินฝากธนาคารกรุงไทย กระแสรายวัน เลขที่ 318-6-01052-7</t>
  </si>
  <si>
    <t>เงินฝากธนาคารกรุงไทย กระแสรายวัน เลขที่ 318-6-01257-0</t>
  </si>
  <si>
    <t>เงินฝากธนาคารกรุงไทย กระแสรายวัน เลขที่ 981-3-46601-4</t>
  </si>
  <si>
    <t>เงินฝากธนาคารออมสิน ออมทรัพย์ 051110336529</t>
  </si>
  <si>
    <t>เงินฝากธนาคาร ธ.ก.ส.ออมทรัพย์ เลขที่ 01112-2-54362-0</t>
  </si>
  <si>
    <t>เงินฝากธนาคาร ธ.ก.ส.ออมทรัพย์ เลขที่ 01112-2-69027-8</t>
  </si>
  <si>
    <t>เงินฝากธนาคาร ธ.ก.ส. กระแสรายวัน เลขที่ 01112-5-00050-7</t>
  </si>
  <si>
    <t>องค์การบริหารส่วนตำบลบ้านกอก  อำเภอจัตุรัส  จังหวัดชัยภูมิ</t>
  </si>
  <si>
    <t>ค่าใช้จ่ายในการจัดเก็บภาษีบำรุงท้องที่ 6%</t>
  </si>
  <si>
    <t>ค่าใช้จ่ายในการจัดเก็บภาษีบำรุงท้องที่ 5%</t>
  </si>
  <si>
    <t>เงินทุนโครงการเศรษฐกิจชุมชน</t>
  </si>
  <si>
    <t>องค์การบริหารส่วนตำบลบ้านกอก อำเภอจัตุรัส จังหวัดชัยภูมิ</t>
  </si>
  <si>
    <t>ก่อสร้างโครงสร้าง</t>
  </si>
  <si>
    <t>พื้นฐาน</t>
  </si>
  <si>
    <t>เงินอุดหนุน</t>
  </si>
  <si>
    <t xml:space="preserve"> - ปรับปรุง บำรุงรักษา โครงสร้างพื้นฐาน ประเภทถนน</t>
  </si>
  <si>
    <t>ค่าใช้สอย</t>
  </si>
  <si>
    <t>ลูกหนี้-เงินทุนโครงการเศรษฐกิจชุมชน</t>
  </si>
  <si>
    <t xml:space="preserve">3.1 รายได้จากน้ำประปา  </t>
  </si>
  <si>
    <t xml:space="preserve">4.2 รายได้เบ็ดเตล็ดอื่น ๆ  </t>
  </si>
  <si>
    <t>5. หมวดรายได้จากทุน</t>
  </si>
  <si>
    <t>5.1 ค่าขายทอดตลาดจากทรัพย์สิน</t>
  </si>
  <si>
    <t xml:space="preserve"> - ค่าเบี้ยประชุม</t>
  </si>
  <si>
    <t xml:space="preserve">   โครงการสนับสนุนค่าใช้จ่ายการบริหารสถานศึกษา (อาหารกลางวัน)</t>
  </si>
  <si>
    <t xml:space="preserve">   ค่าใช้จ่ายในการพัฒนาครูผู้ดูแลเด็ก ผู้ดูแลเด็กของศูนย์พัฒนาเด็กเล็ก</t>
  </si>
  <si>
    <t>โครงการจัดซื้อน้ำยาเคมีดับเพลิง</t>
  </si>
  <si>
    <t>โครงการจัดตั้งศูนย์รายงานสถานการจราจรและอยู่เวรยามช่วงเทศกาล</t>
  </si>
  <si>
    <t>ค่าใชจ่ายในกิจกรรม อาสาสมัครป้องกันภัยฝ่ายพลเรือน (อปพร.)</t>
  </si>
  <si>
    <t>ค่าใช้จ่ายในการป้องกันและแก้ไขปัญหายาเสพติดการจัดระเบียบสังคม</t>
  </si>
  <si>
    <t>ค่าใช้จ่ายในการฝึกอบรมและฝึกทบทวน อปพร.</t>
  </si>
  <si>
    <t xml:space="preserve"> - ประเภทค่าวัสดุกีฬา</t>
  </si>
  <si>
    <t xml:space="preserve"> - ประเภทวัสดุการเกษตร</t>
  </si>
  <si>
    <t xml:space="preserve"> - อุดหนุนส่วนราชการเพื่ออุดหนุนองค์การบริหารส่วนตำบลบ้านขาม</t>
  </si>
  <si>
    <t xml:space="preserve"> - อุดหนุนโรงเรียนบ้านมะเกลือโนนทอง</t>
  </si>
  <si>
    <t xml:space="preserve"> - อุดหนุนโรงเรียนบ้านหลุบงิ้ว</t>
  </si>
  <si>
    <t xml:space="preserve"> - อุดหนุนโรงเรียนบ้านสระสี่เหลี่ยม</t>
  </si>
  <si>
    <t xml:space="preserve"> - อุดหนุนโรงเรียนบ้านทุ่งสว่าง</t>
  </si>
  <si>
    <t xml:space="preserve"> - อุดหนุนกลุ่มองค์กรสตรีตำบลบ้านกอก</t>
  </si>
  <si>
    <t>1.3 เงินอุดหนุนเฉพาะกิจ</t>
  </si>
  <si>
    <t>องค์การบริการส่วนตำบลบ้านกอก</t>
  </si>
  <si>
    <t>เงินเดือน (ฝ่ายประจำ)</t>
  </si>
  <si>
    <t>ค่าครุภัณฑ์</t>
  </si>
  <si>
    <t>ค่าที่ดินและสิ่งก่อสร้าง</t>
  </si>
  <si>
    <t>เงินเดือน (ฝ่ายการเมือง)</t>
  </si>
  <si>
    <t>อุตสาหกรรมและการโยธา</t>
  </si>
  <si>
    <t>ลูกหนี้เงินทุนโครงงการเศรษฐกิจชุมชน</t>
  </si>
  <si>
    <t>เงินอุดหนุนเฉพาะกิจ</t>
  </si>
  <si>
    <t>รายได้จากทุน</t>
  </si>
  <si>
    <t>เงินเดือน (ฝ่ายประจำ) (หมายเหตุ 3)</t>
  </si>
  <si>
    <t xml:space="preserve">งบกลาง   (หมายเหตุ 1)     </t>
  </si>
  <si>
    <t>เงินอุดหนุน (หมายเหตุ 8)</t>
  </si>
  <si>
    <t>ค่าสาธารณูปโภค (หมายเหตุ 7)</t>
  </si>
  <si>
    <t xml:space="preserve">ค่าวัสดุ  (หมายเหตุ 6)  </t>
  </si>
  <si>
    <t xml:space="preserve">ค่าใช้สอย  (หมายเหตุ 5)      </t>
  </si>
  <si>
    <t xml:space="preserve">ค่าตอบแทน   (หมายเหตุ 4)   </t>
  </si>
  <si>
    <t>เงินเดือน (ฝ่ายการเมือง) (หมายเหตุ 2)</t>
  </si>
  <si>
    <t>ค่าครุภัณฑ์  ( หมายเหตุ 9)</t>
  </si>
  <si>
    <t>ค่าที่ดินและสิ่งก่อสร้าง (หมายเหตุ 10)</t>
  </si>
  <si>
    <t xml:space="preserve">รายจ่ายอื่น </t>
  </si>
  <si>
    <t>จำนวนเงินที่ได้รับอนุมัติ</t>
  </si>
  <si>
    <t>งบแสดงผลการดำเนินงานที่จ่ายจากเงินรายรับ งินสะสม เงินทุนสำรองเงินสะสม</t>
  </si>
  <si>
    <t>รายงานรายจ่ายในการดำเนินงานที่จ่ายจากเงินทุนสำรองเงินสะสม</t>
  </si>
  <si>
    <t>อุสาหกรรมและการโยธา</t>
  </si>
  <si>
    <t>งานสวนสาธารณะ</t>
  </si>
  <si>
    <t>งานกำจัดขยะมูลฝอยและสิ่งปฏิกูล</t>
  </si>
  <si>
    <t>งานกีฬาและนันทนาการ</t>
  </si>
  <si>
    <t>องค์การบริหารส่วนตำบลบ้านกอก อำเภอจัตุรัส  จังหวัดชัยภูมิ</t>
  </si>
  <si>
    <t>12.ครุภัณฑ์การโยธา</t>
  </si>
  <si>
    <t xml:space="preserve">     14.ครุภัณฑ์สาธารณสุข</t>
  </si>
  <si>
    <t>เงินบริจาค</t>
  </si>
  <si>
    <t xml:space="preserve">    16. ครุภัณฑ์อื่น</t>
  </si>
  <si>
    <t>3.1 เงินเดือนพนักงานส่วนตำบล</t>
  </si>
  <si>
    <t>(นางนิศากร  แนวประเสริฐ)</t>
  </si>
  <si>
    <t>ผู้อำนวยการกองคลัง</t>
  </si>
  <si>
    <t xml:space="preserve">                                        ................................................ผู้อำนวยการกองคลังองค์การบริหารส่วนตำบลบ้านกอก</t>
  </si>
  <si>
    <t>รวมรายได้ที่อบต.จัดเก็บเอง</t>
  </si>
  <si>
    <t xml:space="preserve"> - อุดหนุนโครงการพัฒนาสาธารณสุขมูลฐานในเขตอบต.บ้านกอก (17 หมู่บ้าน)</t>
  </si>
  <si>
    <t xml:space="preserve"> 1.ที่ดิน</t>
  </si>
  <si>
    <t xml:space="preserve"> 3.อาคารเอนกประสงค์</t>
  </si>
  <si>
    <t>12.โรงเก็บพัสดุ</t>
  </si>
  <si>
    <t>4.อาคารห้องประชุม</t>
  </si>
  <si>
    <t>6. อาคารอเนกประสงค์ (โรงจอดรถ)</t>
  </si>
  <si>
    <t>7. เสาธง</t>
  </si>
  <si>
    <t>1.4 ภาษี และค่าธรรมเนียมรถยนต์หรือล้อเลื่อน</t>
  </si>
  <si>
    <t>1.1 ค่าธรรมเนียมเกี่ยวกับใบอนุญาตการพนัน</t>
  </si>
  <si>
    <t>1.2 ค่าธรรมเนียมเกี่ยวกับการควบคุมอาคาร</t>
  </si>
  <si>
    <t>1.3 ค่าธรรมเนียมจดทะเบียนพาณิชย์</t>
  </si>
  <si>
    <t>1.4 ค่าธรรมเนียมกำจัดขยะมูลฝอย</t>
  </si>
  <si>
    <t>1.5 ค่าธรรมเนียมอื่น ๆ</t>
  </si>
  <si>
    <t>1.6 ค่าปรับผู้กระทำผิดความผิดตาม พ.ร.บ. จราจรฯ</t>
  </si>
  <si>
    <t xml:space="preserve">1.7 ค่าปรับการผิดสัญญา  </t>
  </si>
  <si>
    <t>1.5 ภาษีมูลค่าเพิ่มตาม พ.ร.บ. กำหนดแผนฯ</t>
  </si>
  <si>
    <t>1.6 ภาษีมูลค่าเพิ่มตาม พ.ร.บ.จัดสรรรายได้ฯ (1 ใน 9)</t>
  </si>
  <si>
    <t>1.7 ภาษีธุรกิจเฉพาะ</t>
  </si>
  <si>
    <t>1.8 ภาษีสุรา</t>
  </si>
  <si>
    <t>1.9 ภาษีสรรพสามิต</t>
  </si>
  <si>
    <t>1.12 ค่าธรรมเนียมจดทะเบียนสิทธิและนิติกรรมที่ดิน</t>
  </si>
  <si>
    <t>1.1 เงินกองทุนประกันสังคม</t>
  </si>
  <si>
    <t>1.2 เบี้ยยังชีพผู้สูงอายุ</t>
  </si>
  <si>
    <t>1.3 เบี้ยยังชีพผู้พิการ</t>
  </si>
  <si>
    <t>1.4 เบี้ยยังชีพผู้ป่วยเอดส์</t>
  </si>
  <si>
    <t>1.5 เงินสำรองจ่าย</t>
  </si>
  <si>
    <t>1.7 เงินช่วยเหลือเงินกองทุนบำเหน็จบำนาญของข้าราชการส่วนท้องถิ่น (กบท.)</t>
  </si>
  <si>
    <t>2.1 เงินเดือน /รองนายก</t>
  </si>
  <si>
    <t>2.2 เงินค่าตอบแทนประจำตำแหน่งนายก/รองนายก</t>
  </si>
  <si>
    <t>2.3 เงินค่าตอบแทนพิเศษนายก/รองนายก</t>
  </si>
  <si>
    <t xml:space="preserve">2.4 เงินเดือน/ค่าตอบแทนเลขานุการนายกฯ </t>
  </si>
  <si>
    <t>2.5 เงินค่าตอบแทนสมาชิก สภา อปท.</t>
  </si>
  <si>
    <t>3.2 เงินเพิ่มต่างๆ ของพนักงาน (ค่าตอบแทนพิเศษปลัด)</t>
  </si>
  <si>
    <t>โครงการรณรงค์ปฏิบัติตามกฏจราจร ป้องกันและลดอุบัติเหตุทางถนนฯ</t>
  </si>
  <si>
    <t>ค่าใช้จายในการนินการป้องกันไฟป่าอละดับไฟป่าในพื้นที่ ฯ</t>
  </si>
  <si>
    <t xml:space="preserve"> คชจ.ในการเดินทางไปราชการ</t>
  </si>
  <si>
    <t xml:space="preserve"> คชจ.ในการออกเอกสารสิทธิที่ดิน โอนที่ดิน</t>
  </si>
  <si>
    <t xml:space="preserve"> ค่าบำรุงรักษาและซ่อมแซม</t>
  </si>
  <si>
    <t xml:space="preserve"> ค่าของขวัญของรางวัลหรือเงินรางวัลในงานกิจกรรมต่าง ๆ</t>
  </si>
  <si>
    <t xml:space="preserve">   โครงการสนับสนุนค่าใช้จ่ายการบริหารสถานศึกษา (รายหัว)</t>
  </si>
  <si>
    <t xml:space="preserve"> - ประเภทค่าน้ำประปา ค่าน้ำบาดาล</t>
  </si>
  <si>
    <t xml:space="preserve"> - คชจ.ในการประเมินความพึงพอใจของ อบต.บ้านกอก</t>
  </si>
  <si>
    <t xml:space="preserve"> - ค่าครุภัณฑ์ยานพาหนะและขนส่ง</t>
  </si>
  <si>
    <t xml:space="preserve"> - ค่าครุภัณฑ์ไฟฟ้าแลวิทยุ</t>
  </si>
  <si>
    <t xml:space="preserve"> - ค่าก่อสร้างสาธารณูปโภค</t>
  </si>
  <si>
    <t>110202</t>
  </si>
  <si>
    <t>110604</t>
  </si>
  <si>
    <t xml:space="preserve"> 30   กันยายน   2560</t>
  </si>
  <si>
    <t>1. เงินกองทุนประกันสังคม</t>
  </si>
  <si>
    <t>2. เบี้ยยังชีพผู้สูงอายุ</t>
  </si>
  <si>
    <t>3. เบี้ยยังชีพผู้พิการ</t>
  </si>
  <si>
    <t>4. เบี้ยยังชีพผู้ป่วยเอดส์</t>
  </si>
  <si>
    <t>5. เงินสำรองจ่าย</t>
  </si>
  <si>
    <t>7. เงินช่วยเหลือเงินกองทุนบำเหน็จบำนาญของข้าราชการส่วนท้องถิ่น (กบท.)</t>
  </si>
  <si>
    <t>1. เงินเดือน /รองนายก</t>
  </si>
  <si>
    <t>2. เงินค่าตอบแทนประจำตำแหน่งนายก/รองนายก</t>
  </si>
  <si>
    <t>3. เงินค่าตอบแทนพิเศษนายก/รองนายก</t>
  </si>
  <si>
    <t xml:space="preserve">4. เงินเดือน/ค่าตอบแทนเลขานุการนายกฯ </t>
  </si>
  <si>
    <t>1. เงินเดือนพนักงานส่วนตำบล</t>
  </si>
  <si>
    <t>2. เงินเพิ่มต่างๆ ของพนักงาน (ค่าตอบแทนพิเศษปลัด)</t>
  </si>
  <si>
    <t>4.. ค่าจ้างพนักงานจ้างตามภารกิจ</t>
  </si>
  <si>
    <t>5. เงินเพิ่มต่างๆ ของพนักงานจ้างตามภารกิจ</t>
  </si>
  <si>
    <t>4. เงินเพิ่มต่างๆ ของพนักงานจ้าง</t>
  </si>
  <si>
    <t>2. เงินประจำตำแหน่งผู้อำนวยการกองการศึกษา</t>
  </si>
  <si>
    <t>ศาสนาและวัฒนธรรม</t>
  </si>
  <si>
    <t>2. ค่าจ้างพนักงานจ้าง</t>
  </si>
  <si>
    <t>ส่วนการศึกษาฯ</t>
  </si>
  <si>
    <t>3. เงินเพิ่มต่างๆ ของพนักงานจ้าง</t>
  </si>
  <si>
    <t>แผนงานสาธารณสุข ง.บริหารทั่วไปเกี่ยวกับงาน สธ.</t>
  </si>
  <si>
    <t>3. ค่าจ้างพนักงานจ้าง</t>
  </si>
  <si>
    <t>3. ค่าช่วยเหลือการศึกษาบุตร</t>
  </si>
  <si>
    <t>3. ค่าเช่าบ้าน</t>
  </si>
  <si>
    <t>2. ค่าตอบแทนนอกเวลาราชการ</t>
  </si>
  <si>
    <t>2. รายจ่ายเกี่ยวกับการรับรองพิธีการ</t>
  </si>
  <si>
    <t xml:space="preserve">4. รายจ่ายเพื่อบำรุงรักษาหรือซ่อมแซมทรัพย์สิน </t>
  </si>
  <si>
    <t>2. รายจ่ายเกี่ยวเนื่องกับการปฎิบัติราชการที่ไม่เข้าลักษณะรายจ่ายหมวดอื่นๆ</t>
  </si>
  <si>
    <t xml:space="preserve">   2.1 ค่าของขวัญของรางวัลหรือเงินรางวัลในงานกิจกรรมต่างๆ</t>
  </si>
  <si>
    <t xml:space="preserve">   2.3 ค่าใช้จ่ายในการเดินทางไปราชการหรืออบรมสัมมนา</t>
  </si>
  <si>
    <t>3.  รายจ่ายเพื่อบำรุงรักษาหรือซ่อมแซมทรัพย์สิน</t>
  </si>
  <si>
    <t xml:space="preserve">   1.1 โครงการรณรงค์ปฏิบัติตามกฏจราจร ป้องกันลดอุบัติเหตุทางถนน</t>
  </si>
  <si>
    <t xml:space="preserve">   1.2  ค่าใช้จ่ายโครงการจัดซื้อน้ำยาเคมีดับเพลิง</t>
  </si>
  <si>
    <t xml:space="preserve">   1.7 ค่าใช้จ่ายในการดำเนินการป้องกันไฟป่าและดับไฟป่าในพื้นที่</t>
  </si>
  <si>
    <t>1. รายจ่ายเกี่ยวเนื่องกัการปฏิบัติราชการที่ไม่เข้าลักษณะรายจ่ายหมวดอื่นๆ</t>
  </si>
  <si>
    <t xml:space="preserve">   1.1 โครงการสนับสนุนค่าใช้จ่ายการบริหารสถานศึกษา (อาหารกลางวัน)</t>
  </si>
  <si>
    <t xml:space="preserve">   1.2 ค่าใช้จ่ายในการพัฒนาครูผู้ดูแลเด็ก ผู้ดูแลด็กของศูนย์พัฒนาเด็กเล็ก</t>
  </si>
  <si>
    <t xml:space="preserve">   1.1 โครงการแข่งขันกีฬาต้านยาเสพติด </t>
  </si>
  <si>
    <t xml:space="preserve">   2.1 โครงการอบรมส่งเสริมอาชีพไร่นาสวนผสมตามแนวพระราชดำริ</t>
  </si>
  <si>
    <t>2.ค่าวัสดุงานบ้านงานบ้านงานครัว</t>
  </si>
  <si>
    <t>3.ค่าวัสดุยานพาหนะและขนส่ง</t>
  </si>
  <si>
    <t>5.  ค่าวัสดุโฆษณาและเผยแพร่</t>
  </si>
  <si>
    <t>6.  ค่าวัสดุคอมพิวเตอร์</t>
  </si>
  <si>
    <t>2.ค่าวัสดุวิทยาศาสตร์ และการแพทย์</t>
  </si>
  <si>
    <t>3.ค่าวัสดุคอมพิวเตอร์</t>
  </si>
  <si>
    <t xml:space="preserve"> 3. ค่าวัสดุยานพาหนะและขนส่ง</t>
  </si>
  <si>
    <t>2. ค่าวัสดุก่อสร้าง</t>
  </si>
  <si>
    <t xml:space="preserve"> 4. ค่าวัสดุเชื้อเพลิงและหล่อลื่น</t>
  </si>
  <si>
    <t>6.ค่าวัสดุคอมพิวเตอร์</t>
  </si>
  <si>
    <t xml:space="preserve"> 5. ค่าวัสดุโฆษณา และเผยแพร่</t>
  </si>
  <si>
    <t>1. ค่าไฟฟ้า</t>
  </si>
  <si>
    <t>3. ค่าโทรศัพท์</t>
  </si>
  <si>
    <t>4. ค่าไปรษณีย์ ค่าโทรเลข ค่าธนาณัติ</t>
  </si>
  <si>
    <t>5. ค่าบริการสื่อสารและโทรคมนาคม</t>
  </si>
  <si>
    <t>1. รายจ่ายอื่น</t>
  </si>
  <si>
    <t xml:space="preserve">   1.1 ค่าใช้จ่ายในการประเมินความพึงพอใจ ของ อบต.บ้านกอก</t>
  </si>
  <si>
    <t>กองสวัสดิการ</t>
  </si>
  <si>
    <t>ครุภัณฑ์ไฟฟ้าและวิทยุ</t>
  </si>
  <si>
    <t>กองช่าง</t>
  </si>
  <si>
    <t>แผนงานเคหะและชุมชน งานบริหารทั่วไปเกี่ยวกับเคหะและชุมชน</t>
  </si>
  <si>
    <t>แผนงานเคหะและชุมชน  งานไฟฟ้าถนน ก่อสร้างสาธารณูปโภค</t>
  </si>
  <si>
    <t>กองการศึกษา</t>
  </si>
  <si>
    <t>กองสาธารณสุข</t>
  </si>
  <si>
    <t>กองส่งเสริม</t>
  </si>
  <si>
    <t>กองการคลัง</t>
  </si>
  <si>
    <t>สำหรับปี สิ้นสุดวันที่  ณ  วันที่   30  กันยายน  2560</t>
  </si>
  <si>
    <t>โครงการอบรมอาชีพคนพิการและผู้ดูแลคนพิการและผู้ด้อยโอกาส</t>
  </si>
  <si>
    <t>โครงการส่งเสริมพลังคนพิการและความเท่าเทียมในสังคม</t>
  </si>
  <si>
    <t xml:space="preserve">หมวดค่าใช้สอย </t>
  </si>
  <si>
    <t>โครงการปรับสภาพสิ่งแวดล้อมผู้พิการ</t>
  </si>
  <si>
    <t xml:space="preserve">องค์การบริหารส่วนตำบลบ้านกอก </t>
  </si>
  <si>
    <t>แก้ไขล่าสุด  6 มิ.ย.60</t>
  </si>
  <si>
    <t xml:space="preserve"> 2.อาคารห้องประชุมเอนกประสงค์ฯ</t>
  </si>
  <si>
    <t>8. เสาธง ศพด.บ้านทุ่งสว่างวัฒนา</t>
  </si>
  <si>
    <t>10. ห้องน้ำ</t>
  </si>
  <si>
    <t>11. ห้องน้ำ ศพด.บ้านทุ่งสว่างวัฒนา</t>
  </si>
  <si>
    <t>13.ประปาบาดาล</t>
  </si>
  <si>
    <t xml:space="preserve">14.ศูนย์พัฒนาเด็กเล็ก </t>
  </si>
  <si>
    <t>15.รั้วศูนย์พัฒนาเด็กเล็ก</t>
  </si>
  <si>
    <t>11.ครุภัณฑ์คอมพิวเตอร์</t>
  </si>
  <si>
    <t>15 ครุภัณฑ์เต๊นท์</t>
  </si>
  <si>
    <t>16. ครุภัณฑ์อื่น</t>
  </si>
  <si>
    <t xml:space="preserve">*ทรัพย์สินแสดงตามงบทรัพย์สิน เป็นกรรมสิทธิ์ขององค์กรปกครองส่วนท้องถิ่น และองค์กรปกครองส่วนท้องถิ่นใช้ประโยชน์โดยตรง รวมทั้งทรัพย์สินให้ยืมหรือเช่า </t>
  </si>
  <si>
    <t xml:space="preserve">  ยกเว้นทรัพย์สินที่จัดไว้เพื่อการให้บริการสาธารณะ เช่น ถนน สะพาน ลานกีฬา เป็นต้น</t>
  </si>
  <si>
    <t xml:space="preserve">องค์การบริหารส่วนตำบลบ้านกอก  อำเภอจัตรัส  จังหวัดชัยภูมิ  </t>
  </si>
  <si>
    <t xml:space="preserve"> 2.อาคารห้องประชุมเอนกประสงค์เฉลิมพระเกียรติ</t>
  </si>
  <si>
    <t>8. เสาธงศูนย์พัฒนาเด็กเล็กบ้านทุ่งสว่างวัฒนา</t>
  </si>
  <si>
    <t>11. ห้องน้ำศูนย์พัฒนาเด็กเล็กบ้านทุ่งสว่างวัฒนา</t>
  </si>
  <si>
    <t xml:space="preserve">     12.ครุภัณฑ์การโยธา</t>
  </si>
  <si>
    <t xml:space="preserve">    15. ครุภัณฑ์เต๊นท์</t>
  </si>
  <si>
    <t>รายจ่ายเพื่อให้ได้มาซึ่งบริการ</t>
  </si>
  <si>
    <t>ค่าใช้จ่ายในการประเมินความพึงพอใจ ของ อบต.บ้านกอก</t>
  </si>
  <si>
    <t>สำรองจ่าย</t>
  </si>
  <si>
    <t>ต.ค.</t>
  </si>
  <si>
    <t>พ.ย.</t>
  </si>
  <si>
    <t>ก.พ.</t>
  </si>
  <si>
    <t>ผู้จัดทำ</t>
  </si>
  <si>
    <t>(นางสาวบังอร   หล่าบุตรศรี)</t>
  </si>
  <si>
    <t>(นายสุทธิศักดิ์  สังข์ทอง)</t>
  </si>
  <si>
    <t>ภาษีหัก ณ ที่จ่าย</t>
  </si>
  <si>
    <t>เงินฝากธนาคาร ธ.ก.ส.เงินฝากประจำระยะสั้น เลขที่ 310001595688</t>
  </si>
  <si>
    <t>ลูกหนี้อื่น ๆ (นายจรัล    ชาลีวรรณ)</t>
  </si>
  <si>
    <t xml:space="preserve">   เงินฝากธนาคาร ธ.ก.ส.เงินฝากประจำระยะสั้น เลขที่ 310001595688</t>
  </si>
  <si>
    <t xml:space="preserve">                   รับคืนเงินจัดสรรเงินเดือน/ค่าตอบแทน ผดด. /ค่าสวัสดิการ </t>
  </si>
  <si>
    <t xml:space="preserve">                    รับเงินคืนเบี้ยยังชีพผู้สูงอายุและผู้พิการ ปี 2559</t>
  </si>
  <si>
    <t xml:space="preserve">                    รับเงินคืนตอบแทนวิทยากรฝึก อบรม อปพร.ปี 2559</t>
  </si>
  <si>
    <t xml:space="preserve">                    รับเงินเพิ่มภาษีปีก่อน</t>
  </si>
  <si>
    <t xml:space="preserve">                    รับเงินประกันสัญญา (เนื่องจากผู้รับจ้างไม่มารับเช็ค)</t>
  </si>
  <si>
    <t xml:space="preserve">                   ลูกหนี้อื่น ๆ (นายจรัล   ชาลีวรรณ)</t>
  </si>
  <si>
    <t>4,373,800.00</t>
  </si>
  <si>
    <t xml:space="preserve">                   1. ลูกหนี้-เงินสะสม</t>
  </si>
  <si>
    <t xml:space="preserve">                   3. ลูกหนี้อื่น ๆ (นายจรัล   ชาลีวรรณ)</t>
  </si>
  <si>
    <t xml:space="preserve">                   4.เงินสะสมที่สามารถนำไปใช้ได้</t>
  </si>
  <si>
    <t>1.1 เงินอุดหนุนทั่วไป</t>
  </si>
  <si>
    <t>เงินรอคืนจังหวัด (เงินตกเบิกครู ผดด.และเงินสวัสดิการต่างๆ)</t>
  </si>
  <si>
    <t>เงินอุดหนุนทั่วไป - รอคืนจังหวัด</t>
  </si>
  <si>
    <t>(ตกเบิก) ปี 2558</t>
  </si>
  <si>
    <t>เงินรอคืนจังหวัด (โครงการป้องกันและแก้ไขปัญหายาเสพติด)</t>
  </si>
  <si>
    <t>14.ครุภัณฑ์สาธารณสุช</t>
  </si>
  <si>
    <t xml:space="preserve">                                        ................................................นักวิชาการเงินและบัญชีชำนาญการ</t>
  </si>
  <si>
    <t xml:space="preserve">                                        ................................................ปลัดองค์การบริหารส่วนตำบลบ้านกอก</t>
  </si>
  <si>
    <t xml:space="preserve">    ...................................ปลัดองค์การบริหารส่วนตำบลบ้านกอก        ................................ผู้อำนวยการกองคลังองค์การบริหารส่วนตำบลบ้านกอก                           ....................................นักวิชาการเงินและบัญชีชำนาญการ</t>
  </si>
  <si>
    <t>..............................ปลัดองค์การบริหารส่วนตำบลบ้านกอก   ...........................ผู้อำนวยการกองคลังองค์การบริหารส่วนตำบลบ้านกอก     .......................นักวิชาการเงินและบัญชีชำนาญการ</t>
  </si>
  <si>
    <t>.......................ปลัดองค์การบริหารส่วนตำบลบ้านกอก ........................ผู้อำนวยการกองคลังองค์การบริหารส่วนตำบลบ้านกอก ......................นักวิชาการเงินและบัญชีชำนาญการ</t>
  </si>
  <si>
    <t xml:space="preserve">  ประจำปีงบประมาณ พ.ศ.2561</t>
  </si>
  <si>
    <t>1.8 ค่าปรับอื่น ๆ</t>
  </si>
  <si>
    <t>1.9 ค่าธรรมเนียมใบอนุญาตทำการเก็บ ขน หรือกำจัดสิ่งปฏิกูลมูลฝอย</t>
  </si>
  <si>
    <t>1.10 ค่าธรรมเนียมประกอบกิจการที่เป็นอันตรายต่อสุขภาพ</t>
  </si>
  <si>
    <t>1.11 ค่าใบอนุญาติเกี่ยวกับการควบคุมอาคาร</t>
  </si>
  <si>
    <t>1.6 รายจ่ายตามข้อผูกพัน (สมทบกองทุนหลักประกันสุขภาพ (สปสช.))</t>
  </si>
  <si>
    <t xml:space="preserve"> คชจ.ในการเลือกตั้ง คชจ.สำหรับดำเนินการเกี่ยวกับการเลือกตั้งฯ</t>
  </si>
  <si>
    <t xml:space="preserve"> คชจ.ในการจัดทำแผนพัฒนา อบต. ประชุมบูรณาการจัดทำแผน</t>
  </si>
  <si>
    <t xml:space="preserve"> คชจ.ตามโครงการฝึกอบรมเพื่อเพิ่มประสิทธิภาพฯ (KM)</t>
  </si>
  <si>
    <t xml:space="preserve"> คชจ.ตามโครงการจัดอบรมให้ความรู้เพิ่มทักษะในการใช้ภาษากลุ่มอาเซียน</t>
  </si>
  <si>
    <t xml:space="preserve"> คชจ.ในการดำเนินการป้องกันและปราบปรามการทุจริตฯ</t>
  </si>
  <si>
    <t xml:space="preserve"> คชจ.ในการดำเนินการจัดกิจกรรม 5 ส</t>
  </si>
  <si>
    <t xml:space="preserve"> คชจ.ในการฝึกอบรมพัฒนาประชาธิปไตยและการปกป้องสถาบัน</t>
  </si>
  <si>
    <t xml:space="preserve"> คชจ.โครงการlศึกษาและการให้ความรู้ทักษะให้กับคนทุกช่วงวัย</t>
  </si>
  <si>
    <t xml:space="preserve"> คชจ.โครงการฝึกอบรมปลูกฝังคุณธรรม จริยธรรม ให้กับเด็ก เยาวชนฯ</t>
  </si>
  <si>
    <t xml:space="preserve"> คชจ.โครงการรณรงค์ป้องกันโรคขาดสารไอโอดีน</t>
  </si>
  <si>
    <t xml:space="preserve"> ค่าใช้จ่ายเนื่องในวันเด็กแห่งชาติ</t>
  </si>
  <si>
    <t xml:space="preserve"> คชจ.ในการรณรงค์และการป้องกันให้ความรู้เรื่องโรคเอดส์</t>
  </si>
  <si>
    <t xml:space="preserve"> คชจ.ในการรณรงค์และป้องกันโรคพิษสุนัขบ้า</t>
  </si>
  <si>
    <t xml:space="preserve"> คชจ.ในการรณรงค์ป้องกันและควบคุมโรคไข้เลือดออก</t>
  </si>
  <si>
    <t xml:space="preserve">  โครงการส่งเสริมการพัฒนาคุณภาพชีวิต ผู้พิการ ผู้สูงอายุและผู้ด้อยโอกาส</t>
  </si>
  <si>
    <t xml:space="preserve"> - ค่าครุภัณฑ์อื่น (ชุดไฟสามเหลี่ยม หยุดตรวจพร้อมอุปกรณ์),นั่งร้าน แบบเหล็ก</t>
  </si>
  <si>
    <t xml:space="preserve"> - ค่าถมดินจัดทำสวนหย่อม</t>
  </si>
  <si>
    <t xml:space="preserve"> - ค่าก่อสร้างสาธารณูปการ</t>
  </si>
  <si>
    <t xml:space="preserve"> - ค่าบำรุงรักษาและปรับปรุงที่ดินและสิ่งก่อสร้าง (ซ่อมแซมหลังคาอาคาร อบต.)</t>
  </si>
  <si>
    <t xml:space="preserve">  โครงการส่งเสริม (นวัตกรรม) การจัดระบบการกำจัดขยะ</t>
  </si>
  <si>
    <t xml:space="preserve">  โครงการส่งเสริมและพัฒนาคุณภาพชีวิตให้กับผู้สูงอายุในเขตพื้นที่ อบต.บ้านกอก</t>
  </si>
  <si>
    <t xml:space="preserve">  โครงการฝึกอบรมเด้กและเยาวชน ในการป้องกันการตั้งครรภ์ก่อนวัยอันควร</t>
  </si>
  <si>
    <t xml:space="preserve">  โครงการส่งเสริมการเรียนรู้ตามหลักปรัชญาเศรษฐกิจพอเพียง</t>
  </si>
  <si>
    <t xml:space="preserve">  โครงการส่งเสริมครอบครัวคุณธรรมและจริยธรรม กิจกรรมพาลูกจูงหลานเข้าวัด</t>
  </si>
  <si>
    <t xml:space="preserve">  โครงการส่งเสริมและสนับสนุนกระบวนการจัดทำ ทบทวนปรับปรุงแผนฯ</t>
  </si>
  <si>
    <t xml:space="preserve">  โครงการส่งเสริมการพัฒนาอาชีพและพัฒนาผลิตภัณฑ์ชุมชน</t>
  </si>
  <si>
    <t xml:space="preserve">  โครงการแข่งขันกีฬาต้านยาเสพติด </t>
  </si>
  <si>
    <t xml:space="preserve">  โครงการจัดงานประเพณีสงกรานต์</t>
  </si>
  <si>
    <t xml:space="preserve">  โครงการส่งเสริมพระพุทธศาสนาเนื่องในเทศกาลเข้าพรรษา</t>
  </si>
  <si>
    <t xml:space="preserve">  โครงการอบรมส่งเสริมอาชีพไร่นาสวนผสมตามแนวพระราชดำริ เศรษฐกิจพอเพียง</t>
  </si>
  <si>
    <t xml:space="preserve">  โครงการกำจัดวัชพืชในแหล่งน้ำและปรับปรุงภูมิทัศน์แหล่งน้ำ</t>
  </si>
  <si>
    <t xml:space="preserve">  โครงการตามพระราชดำริพระบาทสมเด็จพระเจ้าอยู่หัวภูมิพลอดุลยเดช</t>
  </si>
  <si>
    <t xml:space="preserve"> คชจ.โครงการปรับปรุงการจัดทำแผนที่ภาษีและทะเบียนทรัพย์สิน</t>
  </si>
  <si>
    <t xml:space="preserve">  โครงการส่งเสริมและสืบสานประเพณีลอยกระทง</t>
  </si>
  <si>
    <t>สำหรับปี สิ้นสุดวันที่  ณ  วันที่   30  กันยายน  2561</t>
  </si>
  <si>
    <t>โครงการซ่อมสร้างผิวทางจราจรลูกรังสายสามแยกสาธารณะ-นานายสมาน ม.3</t>
  </si>
  <si>
    <t>โครงการซ่อมสร้างผิวทางจราจรลูกรังภายในหมู่บ้าน ม.7-สายฟาร์มไก่</t>
  </si>
  <si>
    <t>โครงการซ่อมสร้างผิวทางจราจรลูกรังภายในหมู่บ้าน ม.7-บ้านหนองไผ่</t>
  </si>
  <si>
    <t>โครงการซ่อมสร้างผิวทางจราจรลูกรังบ้านโนนสะอาด ม.8-บ้านหนองบัวใหญ่</t>
  </si>
  <si>
    <t>โครงการซ่อมสร้างผิวทางจราจรลูกรังบ้านโนนสะอาด ม.8-ถนนลาดยางบ้านหลุบงิ้ว</t>
  </si>
  <si>
    <t>โครงการปรับปรุงผิวจราจรลูกรังถนนเพื่อการเกษตรรอบหมู่บ้านม.9(นายบุญประเสริฐ-นานายยงต์)</t>
  </si>
  <si>
    <t>โครงการซ่อมสร้างผิวทางจราจรลูกรังสายหลังรร.บ้านทุ่งส่วาง ม.9</t>
  </si>
  <si>
    <t>โครงการปรับปรุงผิวจราจรลูกรังถนนเพื่อการเกษตรสายบ้านทุ่งสว่างม.9-บ.เต็งเตี้ย</t>
  </si>
  <si>
    <t>โครงการซ่อมสร้างผิวทางจราจรลูกรังสายถนนบ้านนายอ๊อดม.10-บ.สำโรงทุ่ง</t>
  </si>
  <si>
    <t>โครงการซ่อมสร้างผิวทางจราจรลูกรังสายไร่กอวิเศษ บ.คงคาล้อม ม.10</t>
  </si>
  <si>
    <t>โครงการซ่อมสร้างผิวทางจราจรลูกรังถนนบ้านนายสุภี-โนนหัวช้าง ม.13</t>
  </si>
  <si>
    <t>โครงการปรับปรุงผิวจราจรถนนเพื่อการเกษตรสายบ.สระสี่เหลี่ยมม.14-หนองยาใจ</t>
  </si>
  <si>
    <t>โครงการปรับปรุงผิวจราจรถนนเพื่อการเกษตรสายบ.สระสี่เหลี่ยมม.14-หนองพง</t>
  </si>
  <si>
    <t>โครงการปรับปรุงผิวจราจรถนนเพื่อการเกษตรสายบ.สระสี่เหลี่ยมม.14-หนองแห้ง</t>
  </si>
  <si>
    <t>โครงการปรับปรุงผิวจราจรถนนเพื่อการเกษตรสายบ.ดงผาสุข ม.16-บ.สระสี่เหลี่ยมม.14</t>
  </si>
  <si>
    <t>โครงการปรับปรุงผิวจราจรถนนเพื่อการเกษตรสายศาลปู่ตา-หนองโสน ม.16</t>
  </si>
  <si>
    <t>โครงการปรับปรุงผิวจราจรถนนเพื่อการเกษตรสายนานายลอง-สายแยกเต็งเตี้ย ม.16</t>
  </si>
  <si>
    <t>โครงการปรับปรุงผิวจราจรถนนเพื่อการเกษตรสายบ้านดงผาสุข-ท่าลึก ม.16</t>
  </si>
  <si>
    <t>โครงการซ่อมสร้างผิวทางจราจรลูกรังสายนานายประทวน-นานายอูด ม.17</t>
  </si>
  <si>
    <t>โครงการซ่อมสร้างผิวทางจราจรลูกรังสายหินคุขิ - นานายกองตา ม.17</t>
  </si>
  <si>
    <t>โครงการกอ่สร้างบล็อคคอนเวิร์ส สายบ้านดงผาสุข ม.16-บ้านทุ่งสว่างฯ(ท่าลึก)</t>
  </si>
  <si>
    <t>ณ วันที่  30   กันยายน   2561</t>
  </si>
  <si>
    <t>6. รายจ่ายตามข้อผูกพัน (สมทบกองทุนหลักประกันสุขภาพ (สปสช.))</t>
  </si>
  <si>
    <t>3. เงินประจำตำแหน่งผู้อำนวยการกองคลัง</t>
  </si>
  <si>
    <t>4. ค่าจ้างพนักงานจ้างตามภารกิจ</t>
  </si>
  <si>
    <t>5. เงินเพิ่มต่างๆ ของพนักงานจ้าง</t>
  </si>
  <si>
    <t>3. เงินประจำตำแหน่งผู้อำนวยการกองช่าง</t>
  </si>
  <si>
    <t>4. ค่าจ้างพนักงานจ้าง</t>
  </si>
  <si>
    <t>4. เงินช่วยเหลือการศึกษาบุตร</t>
  </si>
  <si>
    <t xml:space="preserve">   3.3 คชจ.ในการเลือกตั้ง คชจ.สำหรับดำเนินการเกี่ยวกับการเลือกตั้งฯ</t>
  </si>
  <si>
    <t xml:space="preserve">   3.5 คชจ.ตามโครงการฝึกอบรมเพื่อเพิ่มประสิทธิภาพฯ (KM)</t>
  </si>
  <si>
    <t xml:space="preserve">   3.4 คชจ.ในการจัดทำแผนพัฒนา อบต. ประชุมบูรณาการจัดทำแผน</t>
  </si>
  <si>
    <t xml:space="preserve">   3.6 คชจ.ตามโครงการจัดอบรมให้ความรู้เพิ่มทักษะในการใช้ภาษากลุ่มอาเซียน</t>
  </si>
  <si>
    <t xml:space="preserve">   3.7 คชจ.ในการดำเนินการป้องกันและปราบปรามการทุจริตฯ</t>
  </si>
  <si>
    <t xml:space="preserve">   3.8 คชจ.ในการดำเนินการจัดกิจกรรม 5 ส</t>
  </si>
  <si>
    <t xml:space="preserve">   3.9 คชจ.ในการฝึกอบรมพัฒนาประชาธิปไตยและการปกป้องสถาบัน</t>
  </si>
  <si>
    <t xml:space="preserve">   2.2 คชจ.โครงการปรับปรุงการจัดทำแผนที่ภาษีและทะเบียนทรัพย์สินฯ</t>
  </si>
  <si>
    <t xml:space="preserve">   3.1 คชจ.โครงการlศึกษาและการให้ความรู้ทักษะให้กับคนทุกช่วงวัย</t>
  </si>
  <si>
    <t xml:space="preserve">  3.2 คชจ.โครงการฝึกอบรมปลูกฝังคุณธรรม จริยธรรม ให้กับเด็ก เยาวชนฯ</t>
  </si>
  <si>
    <t xml:space="preserve">  3.3 คชจ.โครงการรณรงค์ป้องกันโรคขาดสารไอโอดีน</t>
  </si>
  <si>
    <t xml:space="preserve">   3.4ค่าใช้จ่ายเนื่องในวันเด็กแห่งชาติ</t>
  </si>
  <si>
    <t xml:space="preserve">   3.5 ค่าใช้จ่ายในการเดินทางไปราชการ (ค่าเดินทาง)ฯ</t>
  </si>
  <si>
    <t xml:space="preserve">   1.3 โครงการสนับสนุนค่าใช้จ่ายการบริหารสถานศึกษา (รายหัว)</t>
  </si>
  <si>
    <t xml:space="preserve">   1.4 ค่าใช้จ่ายในการเดินทางไปราชการ (ค่าเดินทาง)ฯ</t>
  </si>
  <si>
    <t>3.รายจ่ายเกี่ยวเนื่องกับการปฏิบัติราชการที่ไม่เข้าลักษณะรายจ่ายหมวดอื่นๆ</t>
  </si>
  <si>
    <t xml:space="preserve">  3.1 คชจ.ในการรณรงค์และการป้องกันให้ความรู้เรื่องโรคเอดส์</t>
  </si>
  <si>
    <t xml:space="preserve">  3.2 คชจ.ในการรณรงค์และป้องกันโรคพิษสุนัขบ้า</t>
  </si>
  <si>
    <t xml:space="preserve">  3.3 คชจ.ในการรณรงค์ป้องกันและควบคุมโรคไข้เลือดออก</t>
  </si>
  <si>
    <t xml:space="preserve">   3.4 ค่าใช้จ่ายในการเดินทางไปราชการ (ค่าเดินทาง)ฯ</t>
  </si>
  <si>
    <t>3. รายจ่ายเกี่ยวกับการปฏิบัติราชการที่ไม่เข้าลักษณะรายจ่ายหมวดอื่นๆ</t>
  </si>
  <si>
    <t>1. รายจ่ายเกี่ยวกับการปฏิบัติราชการที่ไม่เข้าลักษณะรายจ่ายหมวดอื่นๆ</t>
  </si>
  <si>
    <t xml:space="preserve">  1.1 โครงการพัฒนาส่งเสริมการพัฒนาคุณภาพชีวิตผู้พิการ ผู้สูงอายุและผู้ด้อยโอกาส</t>
  </si>
  <si>
    <t>แผนงานเคหะและชุมชน งานสวัสดิการสังคมและสังคมสงเคราะห์</t>
  </si>
  <si>
    <t xml:space="preserve">   2.1 ค่าใช้จ่ายในการเดินทางไปราชการ (ค่าเดินทาง)ฯ</t>
  </si>
  <si>
    <t xml:space="preserve">   2.1 โครงการส่งเสริม (นวัตกรรม) การจัดระบบการกำจัดขยะ</t>
  </si>
  <si>
    <t xml:space="preserve">  1.1 โครงการส่งเสริมและพัฒนาคุณภาพชีวิตให้กับผู้สูงอายุในเขตพื้นที่ อบต.บ้านกอก</t>
  </si>
  <si>
    <t xml:space="preserve">  1.2 โครงการฝึกอบรมเด้กและเยาวชน ในการป้องกันการตั้งครรภ์ก่อนวัยอันควร</t>
  </si>
  <si>
    <t xml:space="preserve">  1.3 โครงการส่งเสริมการเรียนรู้ตามหลักปรัชญาเศรษฐกิจพอเพียง</t>
  </si>
  <si>
    <t xml:space="preserve">  1.4 โครงการส่งเสริมครอบครัวคุณธรรมและจริยธรรม กิจกรรมพาลูกจูงหลานเข้าวัด</t>
  </si>
  <si>
    <t xml:space="preserve">  1.5 โครงการส่งเสริมและสนับสนุนกระบวนการจัดทำ ทบทวนปรับปรุงแผนฯ</t>
  </si>
  <si>
    <t xml:space="preserve">  1.6 โครงการส่งเสริมการพัฒนาอาชีพและพัฒนาผลิตภัณฑ์ชุมชน</t>
  </si>
  <si>
    <t>2. รายจ่ายเกี่ยวเนื่องกัการปฏิบัติราชการที่ไม่เข้าลักษณะรายจ่ายหมวดอื่นๆ</t>
  </si>
  <si>
    <t xml:space="preserve">  2.1 โครงการจัดงานประเพณีสงกรานต์</t>
  </si>
  <si>
    <t xml:space="preserve">  2.2 โครงการส่งเสริมและสืบสานประเพณีลอยกระทง</t>
  </si>
  <si>
    <t xml:space="preserve">  2.3 โครงการส่งเสริมพระพุทธศาสนาเนื่องในเทศกาลเข้าพรรษา</t>
  </si>
  <si>
    <t xml:space="preserve">   2.2 ค่าใช้จ่ายในการเดินทางไปราชการ (ค่าเดินทาง)ฯ</t>
  </si>
  <si>
    <t>3.ค่าบำรุงรักษาและซ่อมแซมทรัพย์สิน</t>
  </si>
  <si>
    <t>2. รายจ่ายเกี่ยวกับการปฏิบัติราชการที่ไม่เข้าลักษณะรายจ่ายหมวดอื่นๆ</t>
  </si>
  <si>
    <t xml:space="preserve">  1.1 โครงการกำจัดวัชพืชในแหล่งน้ำและปรับปรุงภูมิทัศน์แหล่งน้ำ</t>
  </si>
  <si>
    <t xml:space="preserve">  1.2 โครงการตามพระราชดำริพระบาทสมเด็จพระเจ้าอยู่หัวภูมิพลอดุลยเดช</t>
  </si>
  <si>
    <t>1. ค่าอาหารเสริม (นม) รร.และ ศพด.</t>
  </si>
  <si>
    <t>2. ค่าน้ำประปา/ค่าน้ำบาดาล</t>
  </si>
  <si>
    <t>2. อุดหนุนโรงเรียนบ้านหลุบงิ้ว</t>
  </si>
  <si>
    <t xml:space="preserve">   2.2 โครงการเกษตรพอเพียง</t>
  </si>
  <si>
    <t>3. อุดหนุนโรงเรียนบ้านสระสี่เหลี่ยม</t>
  </si>
  <si>
    <t>4. อุดหนุนโรงเรียนบ้านทุ่งสว่าง</t>
  </si>
  <si>
    <t xml:space="preserve">   4.2 โครงการต้นไม้ให้ชีวิต</t>
  </si>
  <si>
    <t xml:space="preserve">   1.2 โครงการเข้าค่ายอบรมคุณธรรม จริยธรรม</t>
  </si>
  <si>
    <t xml:space="preserve">   3.2 โครงการส่งเสริมความเป็นเลิศทางวิชาการ</t>
  </si>
  <si>
    <t>1. เก้าอี้ทำงานนักบริหารงานท้องถิ่น (ระดับกลาง)</t>
  </si>
  <si>
    <t>2. เก้าอี้ทำงานแบบมีพนักพิง</t>
  </si>
  <si>
    <t>3. โต๊ะทำงาน</t>
  </si>
  <si>
    <t>4. ตู้เก็บเอกสาร 2 บาน</t>
  </si>
  <si>
    <t>5.เครื่องปรับอากาศแบบแยกส่วนชนิดตั้งแขวนหรือชนิดแขวน  จำนวน  2  เครื่อง</t>
  </si>
  <si>
    <t>6.เครื่องสำรองไฟฟ้า ขนาด 800 VA</t>
  </si>
  <si>
    <t>7. เคริ่องพิมพ์ Multifunction แบบฉีดหมึก (Inkjet) จำนวน 1 เครื่อง</t>
  </si>
  <si>
    <t>1. ตู้เก็บเอกสาร 2 บาน</t>
  </si>
  <si>
    <t>2. โต๊ะทำงานเหล็ก</t>
  </si>
  <si>
    <t>3. เก้าอี้ทำงานแบบมีพนักพิง</t>
  </si>
  <si>
    <t>4. เครื่องคอมพิวเตอร์ พร้อมเครื่องสำรองไฟฟ้า</t>
  </si>
  <si>
    <t xml:space="preserve"> ค่าครุภัณฑ์ยานพาหนะและขนส่ง</t>
  </si>
  <si>
    <t>1. เรือเหล็กเอนกประสงค์และเครื่องเรือ พร้อมอุปกรณ์</t>
  </si>
  <si>
    <t>1. ชุดไฟสามเหลี่ยม หยุดตรวจ พร้อมอุปกรณ์</t>
  </si>
  <si>
    <t>1. โต๊ะทำงาน จำนวน 7 ตัว</t>
  </si>
  <si>
    <t>1. ตู้เหล็กเก็บเอกสาร กระจำบานเลื่อน มี 3 ชั้นวาง</t>
  </si>
  <si>
    <t>3. เครื่องคอมพิวเตอร์ พร้อมเครื่องสำรองไฟฟ้า</t>
  </si>
  <si>
    <t>1. โครงการติดตั้งเครื่องขยายเสียงหอกระจายข่าวปประจำหมู่บ้าน ม.8</t>
  </si>
  <si>
    <t>ครุภัณฑ์อื่น</t>
  </si>
  <si>
    <t>1. นั่งร้าน แบบเหล็ก จำนวน  10  ชุด</t>
  </si>
  <si>
    <t xml:space="preserve"> - โครงการก่อสร้างขยายไหล่ทางถนน คสล. ม.1 (เลียบห้วยกอก)</t>
  </si>
  <si>
    <t xml:space="preserve"> - โครงการก่อสร้างถนน คสล.ม.2 (บ้านนายปรีชา-มัสยิด)</t>
  </si>
  <si>
    <t xml:space="preserve"> - โครงการก่อสร้างวางท่อระบายน้ำ ม.3</t>
  </si>
  <si>
    <t xml:space="preserve"> - โครงการก่อสร้างถนน คสล.ม.4 (นายขอด-นางชาตรี)</t>
  </si>
  <si>
    <t xml:space="preserve"> - โครงการก่อสร้างถนน คสล.ม.5 (หน้าบ้านนางหนูนิต)</t>
  </si>
  <si>
    <t xml:space="preserve"> - โครงการก่อสร้างถนน คสล.ม.6 (นายอำนาจ-นายสง่า)</t>
  </si>
  <si>
    <t xml:space="preserve"> - โครงการก่อสร้างถนน คสล.ม.7 (นายชำนาญ-นางแว่น)</t>
  </si>
  <si>
    <t xml:space="preserve"> - โครงการก่อสร้างถนน คสล.ม.9 (นายประจวบ-นายหน่อน)</t>
  </si>
  <si>
    <t xml:space="preserve"> - โครงการก่อสร้างถนน คสล.ม.10 (นายสมาน ชาลีเครือ)</t>
  </si>
  <si>
    <t xml:space="preserve"> - โครงการปรับปรุงถนนลงลูกรัง ม.11 (หนองหมาไน)</t>
  </si>
  <si>
    <t xml:space="preserve"> - โครงการซ่อมแซมถนนลูกรังเพื่อการเกษตร ม.12</t>
  </si>
  <si>
    <t xml:space="preserve"> - โครงการก่อสร้างถนน คสล.ม.13 (นายทรงเดช-นายแดง)</t>
  </si>
  <si>
    <t xml:space="preserve"> - โครงการก่อสร้างถนน คสล.ม.14 (นายสมศรี-นางสมพร)</t>
  </si>
  <si>
    <t xml:space="preserve"> - โครงการก่อสร้างถนน คสล.ม.15 (น.ส.มาลี-นายโฮ่)</t>
  </si>
  <si>
    <t xml:space="preserve"> - โครงการก่อสร้างถนน ยกระดับลงลูกรัง ม.16</t>
  </si>
  <si>
    <t xml:space="preserve"> - โครงการก่อสร้างถนน คสล.ม.17 (นายสุเมธ-นายหนู)</t>
  </si>
  <si>
    <t xml:space="preserve"> - โครงการก่อสร้างถนนดิน ม.3 (ไร่นางมา - นางสุน)</t>
  </si>
  <si>
    <t xml:space="preserve"> - โครงการก่อสร้างบล็อคคอนเวิร์ส (ใต้ฝายน้ำล้น ม.16)</t>
  </si>
  <si>
    <t xml:space="preserve"> - โครงการลงหินคลุก ศพด.บ้านโนนทอง ม.3</t>
  </si>
  <si>
    <t xml:space="preserve"> - โครงการลงหินคลุก ศพด.บ้านสระสี่เหลี่ยม ม.7</t>
  </si>
  <si>
    <t xml:space="preserve"> - โครงการลงหินคลุก ศพด.บ้านทุ่งสว่างวัฒนา ม.9</t>
  </si>
  <si>
    <t xml:space="preserve"> - โครงการก่อสร้างโรงสูบน้ำ สระวังระเริง ม.6</t>
  </si>
  <si>
    <t xml:space="preserve"> - ค่าถมดิน จัดทำสวนหย่อมบริเวณที่ทำการ อบต.บ้านกอก</t>
  </si>
  <si>
    <t xml:space="preserve"> - โครงการก่อสร้างโรงจอดรถของ อบต.บ้านกอก</t>
  </si>
  <si>
    <t>รวมหมวดที่ดินและสิ่งก่อสร้างทั้งสิ้น</t>
  </si>
  <si>
    <t>กองการเกษตร</t>
  </si>
  <si>
    <t xml:space="preserve"> - โครงการซ่อมแซมอาคารและฝ้าเพดาน อบต.บ้านกอก</t>
  </si>
  <si>
    <t xml:space="preserve"> - โครงการขุดลอกลำห้วยสำโรง จากบ้านนายอ๊อดถึงแยกคลองห้วยสำโรง ม.10</t>
  </si>
  <si>
    <t>ตั้งแต่วันที่ 1 ตุลาคม 2560 ถึง 30 กันยายน 2561</t>
  </si>
  <si>
    <t>ตั้งแต่วันที่ 1 ตุลาคม 2560  ถึง 30 กันยายน 2561</t>
  </si>
  <si>
    <t>ตั้งแต่วันที่  1 ตุลาคม 2560  ถึง 30 กันยายน 2561</t>
  </si>
  <si>
    <t>ตั้งแต่วันที่ 1 ตุลาคม 2560  ถึง  30  กันยายน  2561</t>
  </si>
  <si>
    <t>ตั้งแต่วันที่ 1 ตุลาคม 2560  ถึง  30 กันยายน 2561</t>
  </si>
  <si>
    <t>ตั้งแต่วันที่  1  ตุลาคม 2560  ถึง  30  กันยายน  2561</t>
  </si>
  <si>
    <t>ตั้งแต่วันที่ 1 ตุลาคม 2560   ถึง  30 กันยายน 2561</t>
  </si>
  <si>
    <t>ห้ามลบ ลงข้อมูลแล้ว</t>
  </si>
  <si>
    <t>1.  ค่าวัสดุเครื่องแต่งกาย</t>
  </si>
  <si>
    <t>ผง.รักษาความสงบภายใน ง.ป้องกันภัยฝ่ายพลเรือนและอัคคีภัย</t>
  </si>
  <si>
    <t>แผนงานรักษาความสงบภายใน งานป้องกันภัยฝ่ายพลเรือนฯ</t>
  </si>
  <si>
    <t xml:space="preserve"> - โครงการก่อสร้างฝายชะลอน้ำประชารัฐกั้นลำห้วยสวนมอน ม.11 จุดที่ 2</t>
  </si>
  <si>
    <t xml:space="preserve"> ค่าครุภัณฑ์คอมพิวเตอร์</t>
  </si>
  <si>
    <t>แผนงานเคหะและชุมชน งานบริหารทั่งไปเกี่ยวกับเคหะและชุมชน</t>
  </si>
  <si>
    <t>1. เคริ่องพิมพ์ Multifunction แบบฉีดหมึก (Inkjet) จำนวน 1 เครื่อง</t>
  </si>
  <si>
    <t>2. เคริ่องพิมพ์ Multifunction แบบฉีดหมึก (Inkjet) จำนวน 1 เครื่อง</t>
  </si>
  <si>
    <t xml:space="preserve">แผนงานสาธารณสุข </t>
  </si>
  <si>
    <t>8. เงินช่วยพิเศษ</t>
  </si>
  <si>
    <t>2. เงินเพิ่มต่าง ๆ ของพนักงาน</t>
  </si>
  <si>
    <t>2.  เงินเพิ่มต่าง ๆ ของพนักงาน</t>
  </si>
  <si>
    <t>แผนงานบริหารงานทั่วไป  งานบริหารทั่วไป</t>
  </si>
  <si>
    <t>แผนงานสาธารณสุข งานบริหารทั่วไปเกี่ยวกับสาธารณสุข</t>
  </si>
  <si>
    <t>แผนงานเคหะและชุมชน งานไฟฟ้า ถนน</t>
  </si>
  <si>
    <t>ปี 2561</t>
  </si>
  <si>
    <t>ปี 2560</t>
  </si>
  <si>
    <t>คำอธิบาย</t>
  </si>
  <si>
    <t xml:space="preserve">            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ให้แสดงทรัพย์สินที่เป็นกรรมสิทธิ์</t>
  </si>
  <si>
    <t>ขององค์กรปกครองส่วนท้องถิ่นและองค์กรปกครองส่วนท้องถิ่นใช้ประโยชน์โดยตรง  รวมทั้งทรัพย์สินที่จัดไว้เพื่อเป็นการให้บริการสาธารณะ  เช่น</t>
  </si>
  <si>
    <t>ถรร สะพาน ลานกีฬา เป็นต้น</t>
  </si>
  <si>
    <t xml:space="preserve">            2. ทรัพย์สินที่ได้มาจากแหล่งเงินกู้  ให้แสดงทรัพย์สินทุกประเภท</t>
  </si>
  <si>
    <t xml:space="preserve">   เงินสด</t>
  </si>
  <si>
    <t>หมายเหตุ 4 เงินฝากกระทรวงการคลัง</t>
  </si>
  <si>
    <t>หมายเหตุ 5 เงินฝากกองทุน</t>
  </si>
  <si>
    <t xml:space="preserve">หมายเหตุ 6 ลูกหนี้เงินยืม </t>
  </si>
  <si>
    <t>หมายเหตุ 7 รายได้จากรัฐบาลค้างรับ</t>
  </si>
  <si>
    <t>หมายเหตุ 8 ลูกหนี้ค่าภาษี</t>
  </si>
  <si>
    <t>นาย...........................</t>
  </si>
  <si>
    <t>เงินงบประมาณ</t>
  </si>
  <si>
    <t>เดินทางไปราชการ</t>
  </si>
  <si>
    <t>นาง...........................</t>
  </si>
  <si>
    <t>เงินอุดหนุนระบุวัตถุประสงค์/ฉก.</t>
  </si>
  <si>
    <t>สวัสดิการข้าราชการถ่ายโอน</t>
  </si>
  <si>
    <t>โครงการ...................</t>
  </si>
  <si>
    <t>ชื่อ - สกุล   ผู้ยืม</t>
  </si>
  <si>
    <t>โครงการ.................................................................................</t>
  </si>
  <si>
    <t xml:space="preserve">หมายเหตุ  9  ลูกหนี้รายได้อื่น ๆ </t>
  </si>
  <si>
    <t>ลูกหนี้ค่าธรรมเนียมการเก็บขนขยะมูลฝอย</t>
  </si>
  <si>
    <t>ฯลฯ</t>
  </si>
  <si>
    <t>หมายเหตุ  10 ลูกหนี้เงินทุนโครงการเศรษฐกิจ</t>
  </si>
  <si>
    <t>ชื่อ - สกุล  ผู้ยืม</t>
  </si>
  <si>
    <t>โครงการที่ยืม</t>
  </si>
  <si>
    <t xml:space="preserve"> ปี 2560</t>
  </si>
  <si>
    <t xml:space="preserve"> ปี 2561</t>
  </si>
  <si>
    <t>หมายเหตุ  11 ลูกหนี้อื่น ๆ</t>
  </si>
  <si>
    <t>เงินชดใช้ค่าเสียหายในการเลือกตั้ง ของ</t>
  </si>
  <si>
    <t>นายจรัล     ชาลีวรรณ</t>
  </si>
  <si>
    <t>เงินจ่ายล่วงหน้า</t>
  </si>
  <si>
    <t>หมายเหตุ  13 ลูกหนี้เงินยืมเงินสะสม</t>
  </si>
  <si>
    <t>เงินขาดบัญชี</t>
  </si>
  <si>
    <t>เงินประกัน</t>
  </si>
  <si>
    <t>หมายเหตุ  14 สินทรัพย์ไม่หมุนเวียนอื่น</t>
  </si>
  <si>
    <t>หมายเหตุ  15  รายจ่ายค้างจ่าย</t>
  </si>
  <si>
    <t>หมายเหตุ  16  ฎีกาค้างจ่าย</t>
  </si>
  <si>
    <t>หมายเหตุ   17  เงินรับฝาก</t>
  </si>
  <si>
    <t>หมายเหตุ   18  หนี้สินหมุนเวียนอื่น</t>
  </si>
  <si>
    <t>หมายเหตุ 19  เจ้าหนี้เงินกู้</t>
  </si>
  <si>
    <t>ชื่อเจ้าหนี้</t>
  </si>
  <si>
    <t>โครงการที่ขอกู้เงิน</t>
  </si>
  <si>
    <t>จำนวนเงินที่ขอกู้</t>
  </si>
  <si>
    <t>สัญญาเงินกู้</t>
  </si>
  <si>
    <t>เลขที่</t>
  </si>
  <si>
    <t>ลงวันที่</t>
  </si>
  <si>
    <t>เงินต้นค้างชำระ</t>
  </si>
  <si>
    <t>ปีสิ้นสุดสัญญา</t>
  </si>
  <si>
    <t xml:space="preserve">      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</si>
  <si>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จำนวน....บาท</t>
  </si>
  <si>
    <t>หมายเหตุ 20 หนี้สินไม่หมุนเวียนอื่น</t>
  </si>
  <si>
    <t>.........................................................</t>
  </si>
  <si>
    <t>หมายเหตุ  21  เงินสะสม</t>
  </si>
  <si>
    <t>และจะเบิกจ่ายในปีงบประมาณต่อไป ตามรายละเอียดแนบท้าย หมายเหตุ 21</t>
  </si>
  <si>
    <t>รายละเอียดแนบท้ายหมายเหตุ  21  เงินสะสม</t>
  </si>
  <si>
    <t>หมายเหตุ  22  เงินทุนสำรองเงินสะสม</t>
  </si>
  <si>
    <t>2. เงินวิทยฐานะ</t>
  </si>
  <si>
    <t>โครงการปรับปรุงซ่อมแซมถนนเพื่อการเกษตร ม. 2</t>
  </si>
  <si>
    <t>โครงการปรับปรุงซ่อมแซมถนนเพื่อการเกษตร ม. 3</t>
  </si>
  <si>
    <t>โครงการปรับปรุงซ่อมแซมถนนเพื่อการเกษตร ม. 4</t>
  </si>
  <si>
    <t>โครงการปรับปรุงซ่อมแซมถนนเพื่อการเกษตร ม. 5</t>
  </si>
  <si>
    <t>โครงการปรับปรุงซ่อมแซมถนนเพื่อการเกษตร ม. 6</t>
  </si>
  <si>
    <t>โครงการปรับปรุงซ่อมแซมถนนเพื่อการเกษตร ม. 7</t>
  </si>
  <si>
    <t>โครงการปรับปรุงซ่อมแซมถนนเพื่อการเกษตร ม. 8</t>
  </si>
  <si>
    <t>โครงการปรับปรุงซ่อมแซมถนนเพื่อการเกษตร ม. 9</t>
  </si>
  <si>
    <t>โครงการปรับปรุงซ่อมแซมถนนเพื่อการเกษตร ม. 10</t>
  </si>
  <si>
    <t>โครงการปรับปรุงซ่อมแซมถนนเพื่อการเกษตร ม. 11</t>
  </si>
  <si>
    <t>โครงการปรับปรุงซ่อมแซมถนนเพื่อการเกษตร ม. 12</t>
  </si>
  <si>
    <t>โครงการปรับปรุงซ่อมแซมถนนเพื่อการเกษตร ม. 13</t>
  </si>
  <si>
    <t>โครงการปรับปรุงซ่อมแซมถนนเพื่อการเกษตร ม. 14</t>
  </si>
  <si>
    <t>โครงการปรับปรุงซ่อมแซมถนนเพื่อการเกษตร ม. 15</t>
  </si>
  <si>
    <t>โครงการปรับปรุงซ่อมแซมถนนเพื่อการเกษตร ม. 16</t>
  </si>
  <si>
    <t>โครงการปรับปรุงซ่อมแซมถนนเพื่อการเกษตร ม. 17</t>
  </si>
  <si>
    <t>โครงการปรับปรุงซ่อมแซมถนนเพื่อการเกษตร ม.7 (สระสี่เหลี่ยม-โกรกตาแป้น)</t>
  </si>
  <si>
    <t>โครงการปรับปรุงซ่อมแซมถนนเพื่อการเกษตร ม.15 (หนองไผ่-โกรกตาแป้น)</t>
  </si>
  <si>
    <t>โครงการปรับปรุงซ่อมแซมถนนเพื่อการเกษตร ม.16 (ท่าลึก-ทุ่งสว่าง)</t>
  </si>
  <si>
    <t>โครงการซ่อมสร้างผิวทางแอสฟัสติกคอนกรีต ม.14</t>
  </si>
  <si>
    <t>โครงการซ่อมสร้างผิวทางแอสฟัสติกคอนกรีต ม.9</t>
  </si>
  <si>
    <t>โครงการวางท่อระบายน้ำเหลี่ยมคอนกรรีตเสริมเหล็ก ม.11</t>
  </si>
  <si>
    <t>โครงการก่อสร้างถนนลาดยาง ม.13 (บ้านนายสุภีร์ - แยกไร่นายประชัน)</t>
  </si>
  <si>
    <t>โครงการก่อสร้างถนนลาดยาง ม.11 (บ้านนายสมใจ - นายหนูกัน)</t>
  </si>
  <si>
    <t xml:space="preserve"> - ปรับปรุง หรือจัดให้มีแหล่งน้ำ เพื่อการอุปโภคหรือบริโภค</t>
  </si>
  <si>
    <t>โครงการก่อสร้างประปาหอถังสูง ขนาดเล็กคุ้มบาลาน ม.5</t>
  </si>
  <si>
    <t>กลุ่มอาชีพเลี้ยงโคเนื้อ ต.บ้านกอก ม.2</t>
  </si>
  <si>
    <t>นางละมุน       บุญสม</t>
  </si>
  <si>
    <t>น.ส.สำราญ    สิงห์ลา</t>
  </si>
  <si>
    <t>ส่งเสริมอาชีพเลี้ยงสัตว์ (โค) ม.3</t>
  </si>
  <si>
    <t>นายอุบล       สิงห์ลา</t>
  </si>
  <si>
    <t>ส่งเสริมอาชีพเกษตรกรรมทำนาปลูกข้าว ม.4</t>
  </si>
  <si>
    <t>นายบรรจง     สงกอก</t>
  </si>
  <si>
    <t>เลี้ยงไก่พื้นเมือง ม.5</t>
  </si>
  <si>
    <t>นายบุญช่วย   มาภักดี</t>
  </si>
  <si>
    <t>เพิ่มประสิทธิภาพผู้ปลูกมันสำปะหลัง ม.6</t>
  </si>
  <si>
    <t>นายวิศิษฐ์      พิมพา</t>
  </si>
  <si>
    <t>ส่งเสริมสนับสนุนปัจจัยการผลิตผู้ปลูกข้าว ม.6</t>
  </si>
  <si>
    <t>นางลาวัลย์     มุ่งพันกลาง</t>
  </si>
  <si>
    <t>ส่งเสริมอาชีพปลูกพริก ม.7</t>
  </si>
  <si>
    <t>นายสมพงษ์    เวหน</t>
  </si>
  <si>
    <t>เลี้ยงโคเนื้อ ส่งเสริมอาชีพเลี้ยงโคเนื้อ ม.8</t>
  </si>
  <si>
    <t>นายสมบัติ     สีแดง</t>
  </si>
  <si>
    <t>ส่งเสริมอาชีพมันสำปะหลัง ม.9</t>
  </si>
  <si>
    <t>ส่งเสริมอาชีพปลูกข้าว ม.10</t>
  </si>
  <si>
    <t>นางเพียร      เป้พินิจ</t>
  </si>
  <si>
    <t>แปรรูปผลผลิตทางการเกษตร ม.11</t>
  </si>
  <si>
    <t>น.ส.กาญจนา   เกิดบ้านกอก</t>
  </si>
  <si>
    <t>ส่งเสริมอาชีพปลูกพริก ม.12</t>
  </si>
  <si>
    <t>นายอนันต์     สิงห์ลา</t>
  </si>
  <si>
    <t>ส่งเสริมอาชีพเศรษฐกิจชุมชน (กลุ่มผู้เลี้ยงสัตว์) ม.13</t>
  </si>
  <si>
    <t>นายสมพงษ์   ผิวรักษา</t>
  </si>
  <si>
    <t>ส่งเสริมอาชีพปลูกอ้อยเข้าโรงงาน ม.14</t>
  </si>
  <si>
    <t>นายมะลิ       โพธิ์ทอง</t>
  </si>
  <si>
    <t>ส่งเสริมอาชีพเลี้ยงหมู บ้านหนองไผ่ ม.15</t>
  </si>
  <si>
    <t>นายเด่นรัก     จ่าแก้ว</t>
  </si>
  <si>
    <t>ส่งเสริมอาชีพเลี้ยงวัว ม.16</t>
  </si>
  <si>
    <t>นายสานิตย์    แดงสุวรรณ</t>
  </si>
  <si>
    <t>กลุ่มเกาตรกรรม บ้านโนนทอง (เศรษฐกิจชุมชนปลูกข้าว)</t>
  </si>
  <si>
    <t>ส่งเสริมกลุ่มเอกสารเกษตรเพื่อเพิ่มผลผลิต ม.5</t>
  </si>
  <si>
    <t>นางละม่อม     มาอ่อง</t>
  </si>
  <si>
    <t>ส่งเสริมอาชีพปลูกอ้อยส่งโรงงาน ม.7</t>
  </si>
  <si>
    <t>ส่งเสริมอาชีพเกษตรชาวไร่อ้อย ม.9</t>
  </si>
  <si>
    <t>นางตรึงจิตร   น้อยวิเศษ</t>
  </si>
  <si>
    <t>ส่งเสริมอาชีพปลูกพริก ม.11</t>
  </si>
  <si>
    <t>นางสุพัตตรา   มาภักดี</t>
  </si>
  <si>
    <t>ส่งเสริมอาชีพเลี้ยงสัตว์ (โค) ม.13</t>
  </si>
  <si>
    <t>นายบัณฑิต    ดีสีนู</t>
  </si>
  <si>
    <t>โครงการเกษตรปลอดสารเคมี ม.14</t>
  </si>
  <si>
    <t>ส่งเสริมอาชีพจักสานเชือกร่ม ม.15</t>
  </si>
  <si>
    <t>นายสมพร     นารถสมบูรณ์</t>
  </si>
  <si>
    <t>ส่งเสริมอาชีพเกษตรกรไร่มันสำปะหลัง ม.16</t>
  </si>
  <si>
    <t>นางผาสุข       มาภักดี</t>
  </si>
  <si>
    <t>ส่งเสริมอาชีพดอกไม้ประดิษฐ์ ม.6</t>
  </si>
  <si>
    <t>นางหอมจันทร์   ชาตรี</t>
  </si>
  <si>
    <t>1.13 ค่าธรรมเนียมและค่าใช้น้ำบาดาล</t>
  </si>
  <si>
    <t>กระดาษทำการ</t>
  </si>
  <si>
    <t>รหัส</t>
  </si>
  <si>
    <t>ใบผ่านรายการบัญชีทั่วไป(ปรับปรุง)</t>
  </si>
  <si>
    <t>ใบผ่านรายการบัญชีทั่วไป(ปิดบัญชี)</t>
  </si>
  <si>
    <t>บัญชี</t>
  </si>
  <si>
    <t>เดบิต</t>
  </si>
  <si>
    <t>010</t>
  </si>
  <si>
    <t>เงินฝากธนาคาร กระแสฯ-กรุงไทย 318-6-01052-7</t>
  </si>
  <si>
    <t>เงินฝากธนาคาร กระแสฯ-กรุงไทย 318-6-01257-0</t>
  </si>
  <si>
    <t>เงินฝากธนาคาร กระแสฯ-กรุงไทย 981-3-46601-4</t>
  </si>
  <si>
    <t>เงินฝากธนาคาร ประเภท - เผื่อเรียก ออมสิน</t>
  </si>
  <si>
    <t>022</t>
  </si>
  <si>
    <t xml:space="preserve">       -  ออมทรัพย์ ธกส.  เลขที่ 01112-2-54362-0</t>
  </si>
  <si>
    <t xml:space="preserve">       -  ออมทรัพย์  ธกส.  เลขที่ 01112-2-69027-8</t>
  </si>
  <si>
    <t xml:space="preserve">     -  ออมทรัพย์  กรุงไทย เลขที่ 318-1-55840-0</t>
  </si>
  <si>
    <t xml:space="preserve">     -  ออมทรัพย์  กรุงไทย เลขที่ 318-0-27020-9</t>
  </si>
  <si>
    <t xml:space="preserve">      - ออมทรัพย์  กรุงไทย เลขที่ 981-4-52961-3</t>
  </si>
  <si>
    <t>ลูกหนี้ - ภาษีโรงเรือนและที่ดิน</t>
  </si>
  <si>
    <t>081</t>
  </si>
  <si>
    <t>ลูกหนี้ - ภาษีบำรุงท้องที่</t>
  </si>
  <si>
    <t>082</t>
  </si>
  <si>
    <t>ลูกหนี้-เงินโครงการเศรษฐกิจชุมชน</t>
  </si>
  <si>
    <t>084</t>
  </si>
  <si>
    <t>ลูกหนี้-เงินยืมเงินงบประมาณ</t>
  </si>
  <si>
    <t>090</t>
  </si>
  <si>
    <t>000</t>
  </si>
  <si>
    <t>เงินรับฝาก(หมายเหตุ1)</t>
  </si>
  <si>
    <t>รายจ่ายค้างจ่าย(หมายเหตุ 2)</t>
  </si>
  <si>
    <t>ทุนสำรองเงินสะสม</t>
  </si>
  <si>
    <t>ตรวจสอบแล้ว</t>
  </si>
  <si>
    <t>ตรวจสอบแล้วถูกต้อง</t>
  </si>
  <si>
    <t>รับรองถูกต้อง</t>
  </si>
  <si>
    <t>(นายชาญ  คงด้วง)</t>
  </si>
  <si>
    <t>นักวิชาการเงินและบัญชี</t>
  </si>
  <si>
    <t>ปลัดองค์การบริหารส่วนตำบลบ้านกอก</t>
  </si>
  <si>
    <t>นายกองค์การบริหารส่วนตำบลบ้านกอก</t>
  </si>
  <si>
    <t>งบทดลอง ณ วันที่ 30 ก.ย.2561</t>
  </si>
  <si>
    <t>023</t>
  </si>
  <si>
    <t>ออมทรัพย์  ฝากประจำระยะสั้น เลขที่ 310001595688</t>
  </si>
  <si>
    <t>ลูกหนี้-เงินสะสม</t>
  </si>
  <si>
    <t>งบแสดงฐานะการเงิน 30 ก.ย.2561</t>
  </si>
  <si>
    <t>1.8 เงินช่วยพิเศษ</t>
  </si>
  <si>
    <t>3.3 เงินประจำตำแหน่ง</t>
  </si>
  <si>
    <t>3.4 ค่าตอบแทนพนักงานจ้าง</t>
  </si>
  <si>
    <t>3.5 เงินเพิ่มค่าครองชีพชั่วคราวของพนักงานจ้างตามภารกิจ</t>
  </si>
  <si>
    <t>4. ค่าเบี้ยประชุม</t>
  </si>
  <si>
    <t xml:space="preserve"> - ประเภทค่าวัสดุเครื่องแต่งกาย</t>
  </si>
  <si>
    <t xml:space="preserve">1. อุดหนุนโครงการพระราชดำริด้านสาธารณสุขมูลฐาน ม.1-ม.17 </t>
  </si>
  <si>
    <t xml:space="preserve"> -  อุดหนุนโครงการพระราชดำริด้านสาธารณสุขมูลฐาน ม.1-ม.17 </t>
  </si>
  <si>
    <t>2.1 หมวดค่าครุภัณฑ์</t>
  </si>
  <si>
    <t xml:space="preserve"> - ค่าครุภัณฑ์คอมพิวเตอร์</t>
  </si>
  <si>
    <t>1.12 ค่าธรรมเนียมเกี่ยวกับใบอนุญาตขายสุรา</t>
  </si>
  <si>
    <t>หมวดค่าสาธารณูปโภค (อบต.)</t>
  </si>
  <si>
    <t>หมวดค่าสาธารณูปโภค (ศพด.)</t>
  </si>
  <si>
    <t>ผ</t>
  </si>
  <si>
    <t xml:space="preserve"> ณ   วันที่   30   กันยายน   2561</t>
  </si>
  <si>
    <t xml:space="preserve"> ณ  วันที่   30  กันยายน  2561</t>
  </si>
  <si>
    <t>ณ 30 กันยายน 2561</t>
  </si>
  <si>
    <t xml:space="preserve"> สำหรับปีสิ้นสุด วันที่   30  กันยายน  2561</t>
  </si>
  <si>
    <t>โครงการซ่อมแซมถนนเพื่อการเกษตรภายในหมู่บ้าน ม.5,9,10,15</t>
  </si>
  <si>
    <t>โครงการซ่อมแซมถนนเพื่อการเกษตรภายในหมู่บ้าน ม.4,11,13</t>
  </si>
  <si>
    <t>จ้างเหมาบริการทำความสะอาดอาคารสถานที่ราชการ</t>
  </si>
  <si>
    <t>จ้างเหมาบริการปฏิบัติงานรักษาความปลอดภัย</t>
  </si>
  <si>
    <t>จ้างเหมาบริการบุคคลปฏิบัติงานรักำจัดสิ่งปฏิกูลมูลฝอยฯ</t>
  </si>
  <si>
    <t>จัดซื้อหนัสือพิมพ์ประจำหมู่บ้าน</t>
  </si>
  <si>
    <t>จัดซื้อหนัสือพิมพ์ประจำสำนักงาน</t>
  </si>
  <si>
    <t>โครงการก่อสร้างถนน คสล.เลียบห้วยกอก ม.1</t>
  </si>
  <si>
    <t>โครงการก่อสร้างถนน คสล.สายบ้านนายสมาน ชาลีเครือ ม.10</t>
  </si>
  <si>
    <t>โครงการก่อสร้างถนน คสล.สายบ้านนายขอด  ทองจำรูญ ม.4</t>
  </si>
  <si>
    <t>โครงการก่อสร้างถนน คสล.สายบ้านนายปรีชา- สายมัสยิด ม.2</t>
  </si>
  <si>
    <t>โครงการก่อสร้างถนน คสล.สายบ้านนางหนูนิต  ชาติเผือก ม.5</t>
  </si>
  <si>
    <t>โครงการก่อสร้างถนน คสล.สายสี่แยกบ้านนายประจวบ-บ้านนายหน่อน ม.9</t>
  </si>
  <si>
    <t>โครงการก่อสร้างถนน คสล.สายบ้านนายชำนาญ -บ้านนางแว่น ม.7</t>
  </si>
  <si>
    <t>โครงการก่อสร้างถนน คสล.สายหน้าบ้านนายสมศรี -บ้านนางสมพร ม.14</t>
  </si>
  <si>
    <t>โครงการก่อสร้างถนน คสล.สายหน้าบ้านนายสุเมธ -บ้านนายหนู ม.17</t>
  </si>
  <si>
    <t>โครงการก่อสร้างถนน คสล.สายหน้าบ้านน.ส.มาริน -บ้านนายโฮ่ ม.17</t>
  </si>
  <si>
    <t>โครงการก่อสร้างถนน คสล.สายหน้าบ้านนายทรงเดช -บ้านนายแดง ม.13</t>
  </si>
  <si>
    <t>โครงการก่อสร้างถนน คสล.สายหน้าบ้านนายอำนาจ -บ้านสง่า ม.6</t>
  </si>
  <si>
    <t>โครงการก่อสร้างวาท่อระบายน้ำสายบ้านนายณรงค์ -สระใหม่ ม.3</t>
  </si>
  <si>
    <t>ก่อสร้างสิ่งสาธารณูปการ</t>
  </si>
  <si>
    <t>เงินสะสมยกมา  1  ตุลาคม 2560</t>
  </si>
  <si>
    <t xml:space="preserve">                    เงินสะสม 30 กันยายน 2561</t>
  </si>
  <si>
    <t xml:space="preserve">                   รับเงินคืนค่ามัดจำรังวัดที่ดินสาธารณประโยชน์</t>
  </si>
  <si>
    <t xml:space="preserve">                   รับเงินคืนค่าใช้จ่ายในการจัดเก็บภาษีบำรุงท้องที่ 5%</t>
  </si>
  <si>
    <t xml:space="preserve">                   รับเงินคืนค่าตอบแทนอื่นเป็นกรณีพิเศษ (โบนัส)</t>
  </si>
  <si>
    <t xml:space="preserve">                    ลูกหนี้ภาษีบำรุงท้องที่ (ปีก่อน)</t>
  </si>
  <si>
    <t>เงินสะสม   30   กันยายน   2561  ประกอบด้วย</t>
  </si>
  <si>
    <t>ณ  30  กันยายน  2561</t>
  </si>
  <si>
    <t>ตั้งแต่วันที่  1  ตุลาคม  2560  ถึงวันที่  30  กันยายน  2561</t>
  </si>
  <si>
    <t xml:space="preserve">งบกลาง   </t>
  </si>
  <si>
    <t xml:space="preserve">ค่าตอบแทน   </t>
  </si>
  <si>
    <t xml:space="preserve">ค่าใช้สอย     </t>
  </si>
  <si>
    <t xml:space="preserve">ค่าวัสดุ  </t>
  </si>
  <si>
    <t xml:space="preserve">ค่าสาธารณูปโภค </t>
  </si>
  <si>
    <t xml:space="preserve">ค่าที่ดินและสิ่งก่อสร้าง </t>
  </si>
  <si>
    <t>ลูกหนี้อื่น ๆ (นายจรัล  ชาลีวรรณ)</t>
  </si>
  <si>
    <t>ตั้งแต่วันที่  1  ตุลาคม  2560    ถึงวันที่  30  กันยายน  2561</t>
  </si>
  <si>
    <t xml:space="preserve">งบประมาณ  </t>
  </si>
  <si>
    <t>ยกมาปี 60</t>
  </si>
  <si>
    <t>ปี 61</t>
  </si>
  <si>
    <t>ที่ดินและ</t>
  </si>
  <si>
    <t>สิ่งก่อสร้าง</t>
  </si>
  <si>
    <t>ข้อมูลทั่วไป</t>
  </si>
  <si>
    <t>1.1 หลักเกณฑ์ในการจัดทำงบแสดงฐานะการเงิน</t>
  </si>
  <si>
    <t>1.2 รายการเปิดเผยอื่นใด (ถ้ามี)</t>
  </si>
  <si>
    <t>สำหรับปี สิ้นสุด วันที่  30  กันยายน  2561</t>
  </si>
  <si>
    <t>องค์การบริหารส่วนตำบลบ้านกอก จัดตั้งตามประกาศกระทรวงมหาดไทย การจัดตั้งองค์การ</t>
  </si>
  <si>
    <t>บริหารส่วนตำบลบ้านกอก  เมื่อวันที่  19  มกราคม  พ.ศ.2539  สำนักงานตั้งอยู่เลขที่  13  หมู่  12  ตำบล</t>
  </si>
  <si>
    <t>บ้านกอก  อำเภอจัตุรัส  จังหวัดชัยภูมิ</t>
  </si>
  <si>
    <t>มีหมู่บ้านทั้งหมด  17  หมู่บ้าน  เขตพื้นที่ของตำบลบ้านกอก  จะมีพื้นที่ของเทศบาลตำบลจัตุรัส</t>
  </si>
  <si>
    <t>อยู่ตรงกลาง  จำนวน  3  หมู่บ้าน</t>
  </si>
  <si>
    <t>หมายเหตุ 1  สรุปนโยบายการบัญชีที่สำคัญ</t>
  </si>
  <si>
    <t xml:space="preserve">         การบันทึกบัญชีเพื่อจัดทำงบแสดงฐานะทางการเงินเป็นไปตามเกณฑ์เงินสดและเกณฑ์</t>
  </si>
  <si>
    <t>คงค้างตามประกาศกระทรวงมหาดไทย  เรื่อง หลักเกณฑ์และวิธีการปฏิบัติการบันทึกบัญชี  การจัดทำทะเบียน</t>
  </si>
  <si>
    <t>และรายงานการเงินขององค์กรปกครองส่วนท้องถิ่น เมื่อวันที่  20  มีนาคม  2558  และหนังสือสั่งการที่เกี่ยวข้อง</t>
  </si>
  <si>
    <t>มีพื้นที่ในเขตตำบลบ้านกอกประมาณ  58,810  ไร่  หรือ  94  ตารางกิโลเมตร</t>
  </si>
  <si>
    <t>มีจำนวนประชากรทั้งสิ้น   6,900  คน  ชาย  3,376  คน  หญิง  3,494  คน</t>
  </si>
  <si>
    <t>หมายเหตุ  12 ลูกหนี้อื่น ๆ</t>
  </si>
  <si>
    <t>หมายเหตุ   18  หนี้สินหมุนเวียนอื่น ๆ</t>
  </si>
  <si>
    <t>ทั้งนี้ ได้รับอนุมัติให้จ่ายเงินสะสมที่อยู่ระหว่างดำเนินการจำนวน      -      บาท</t>
  </si>
  <si>
    <t xml:space="preserve">เงินเดือน (ฝ่ายการเมือง) </t>
  </si>
  <si>
    <t>งบแสดงผลการดำเนินงานที่จ่ายจากเงินรายรับ งินสะสม เงินทุนสำรองเงินสะสมและเงินกู้</t>
  </si>
  <si>
    <t xml:space="preserve"> หมายเหตุประกอบงบการเงินเป็นส่วนหนึ่งของงบการเงินนี้</t>
  </si>
  <si>
    <t>....................ปลัดองค์การบริหารส่วนตำบลบ้านกอก   .........................ผู้อำนวยการกองคลังองค์การบริหารส่วนตำบลบ้านกอก....................นักวิชาการเงินและบัญชีชำนาญการ</t>
  </si>
  <si>
    <t>..........................ปลัดองค์การบริหารส่วนตำบลบ้านกอก ..........................ผู้อำนวยการกองคลังองค์การบริหารส่วนตำบลบ้านกอก ......................นักวิชาการเงินและบัญชีชำนาญการ</t>
  </si>
  <si>
    <t>.......................ปลัดองค์การบริหารส่วนตำบลบ้านกอก ..........................ผู้อำนวยการกองคลังองค์การบริหารส่วนตำบลบ้านกอก ......................นักวิชาการเงินและบัญชีชำนาญการ</t>
  </si>
  <si>
    <t>..............................................................           ................................................................                   ........................................................</t>
  </si>
  <si>
    <t xml:space="preserve">        (นางสาวบังอร   หล่าบุตรศรี)               (นางนิศากร            แนวประเสริฐ)                       (นายสุทธิศักดิ์        สังข์ทอง) </t>
  </si>
  <si>
    <t xml:space="preserve"> นักวิชาการเงินและบัญชีชำนาญการ                    ผู้อำนวยการกองคลัง                       ปลัดองค์การบริหารส่วนตำบล ปฏิบัติหน้าที่</t>
  </si>
  <si>
    <t xml:space="preserve">                นายกองค์การบริหารส่วนตำบลบ้านกอก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</si>
</sst>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(* #,##0.00_);_(* \(#,##0.00\);_(* &quot;-&quot;??_);_(@_)"/>
  </numFmts>
  <fonts count="11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0"/>
      <name val="Arial"/>
      <family val="2"/>
    </font>
    <font>
      <sz val="10"/>
      <name val="AngsanaUPC"/>
      <family val="1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sz val="12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b/>
      <u val="single"/>
      <sz val="14"/>
      <name val="TH Niramit AS"/>
      <family val="0"/>
    </font>
    <font>
      <u val="singleAccounting"/>
      <sz val="14"/>
      <name val="TH Niramit AS"/>
      <family val="0"/>
    </font>
    <font>
      <b/>
      <sz val="18"/>
      <name val="TH Niramit AS"/>
      <family val="0"/>
    </font>
    <font>
      <b/>
      <sz val="10"/>
      <name val="TH Niramit AS"/>
      <family val="0"/>
    </font>
    <font>
      <sz val="10"/>
      <name val="TH Niramit AS"/>
      <family val="0"/>
    </font>
    <font>
      <sz val="9"/>
      <name val="TH Niramit AS"/>
      <family val="0"/>
    </font>
    <font>
      <sz val="8"/>
      <name val="TH Niramit AS"/>
      <family val="0"/>
    </font>
    <font>
      <b/>
      <u val="single"/>
      <sz val="10"/>
      <name val="TH Niramit AS"/>
      <family val="0"/>
    </font>
    <font>
      <b/>
      <u val="single"/>
      <sz val="16"/>
      <name val="TH Niramit AS"/>
      <family val="0"/>
    </font>
    <font>
      <b/>
      <sz val="12.3"/>
      <name val="TH Niramit AS"/>
      <family val="0"/>
    </font>
    <font>
      <sz val="12.3"/>
      <name val="TH Niramit AS"/>
      <family val="0"/>
    </font>
    <font>
      <sz val="11"/>
      <name val="TH Niramit AS"/>
      <family val="0"/>
    </font>
    <font>
      <b/>
      <sz val="15"/>
      <name val="TH Niramit AS"/>
      <family val="0"/>
    </font>
    <font>
      <sz val="15"/>
      <name val="TH Niramit AS"/>
      <family val="0"/>
    </font>
    <font>
      <sz val="16"/>
      <name val="Angsana New"/>
      <family val="1"/>
    </font>
    <font>
      <b/>
      <sz val="12.5"/>
      <name val="TH Niramit AS"/>
      <family val="0"/>
    </font>
    <font>
      <sz val="12.5"/>
      <name val="TH Niramit AS"/>
      <family val="0"/>
    </font>
    <font>
      <b/>
      <sz val="13"/>
      <name val="TH Niramit AS"/>
      <family val="0"/>
    </font>
    <font>
      <sz val="13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1"/>
      <color indexed="63"/>
      <name val="Tahoma"/>
      <family val="2"/>
    </font>
    <font>
      <sz val="12"/>
      <color indexed="10"/>
      <name val="AngsanaUPC"/>
      <family val="1"/>
    </font>
    <font>
      <sz val="10"/>
      <color indexed="10"/>
      <name val="Arial"/>
      <family val="2"/>
    </font>
    <font>
      <sz val="10"/>
      <color indexed="10"/>
      <name val="AngsanaUPC"/>
      <family val="1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b/>
      <u val="single"/>
      <sz val="16"/>
      <color indexed="8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sz val="10"/>
      <color indexed="8"/>
      <name val="TH Niramit AS"/>
      <family val="0"/>
    </font>
    <font>
      <sz val="12"/>
      <color indexed="10"/>
      <name val="TH Niramit AS"/>
      <family val="0"/>
    </font>
    <font>
      <sz val="10"/>
      <color indexed="10"/>
      <name val="TH Niramit AS"/>
      <family val="0"/>
    </font>
    <font>
      <sz val="12.3"/>
      <color indexed="10"/>
      <name val="TH Niramit AS"/>
      <family val="0"/>
    </font>
    <font>
      <b/>
      <u val="single"/>
      <sz val="14"/>
      <color indexed="8"/>
      <name val="TH Niramit AS"/>
      <family val="0"/>
    </font>
    <font>
      <sz val="15"/>
      <color indexed="8"/>
      <name val="TH Niramit AS"/>
      <family val="0"/>
    </font>
    <font>
      <b/>
      <sz val="15"/>
      <color indexed="8"/>
      <name val="TH Niramit AS"/>
      <family val="0"/>
    </font>
    <font>
      <sz val="13"/>
      <color indexed="8"/>
      <name val="TH Niramit AS"/>
      <family val="0"/>
    </font>
    <font>
      <sz val="16"/>
      <color indexed="10"/>
      <name val="TH Niramit AS"/>
      <family val="0"/>
    </font>
    <font>
      <b/>
      <sz val="11"/>
      <color indexed="8"/>
      <name val="TH Niramit AS"/>
      <family val="0"/>
    </font>
    <font>
      <b/>
      <sz val="13"/>
      <color indexed="8"/>
      <name val="TH Niramit AS"/>
      <family val="0"/>
    </font>
    <font>
      <sz val="14"/>
      <color indexed="10"/>
      <name val="TH Niramit AS"/>
      <family val="0"/>
    </font>
    <font>
      <sz val="9"/>
      <color indexed="8"/>
      <name val="TH Niramit AS"/>
      <family val="0"/>
    </font>
    <font>
      <sz val="8"/>
      <color indexed="8"/>
      <name val="TH Niramit AS"/>
      <family val="0"/>
    </font>
    <font>
      <b/>
      <sz val="12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1"/>
      <color rgb="FF3E3E3E"/>
      <name val="Calibri"/>
      <family val="2"/>
    </font>
    <font>
      <sz val="12"/>
      <color rgb="FFFF0000"/>
      <name val="AngsanaUPC"/>
      <family val="1"/>
    </font>
    <font>
      <sz val="10"/>
      <color rgb="FFFF0000"/>
      <name val="Arial"/>
      <family val="2"/>
    </font>
    <font>
      <sz val="10"/>
      <color rgb="FFFF0000"/>
      <name val="AngsanaUPC"/>
      <family val="1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u val="single"/>
      <sz val="16"/>
      <color theme="1"/>
      <name val="TH Niramit AS"/>
      <family val="0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sz val="10"/>
      <color theme="1"/>
      <name val="TH Niramit AS"/>
      <family val="0"/>
    </font>
    <font>
      <sz val="12"/>
      <color rgb="FFFF0000"/>
      <name val="TH Niramit AS"/>
      <family val="0"/>
    </font>
    <font>
      <sz val="10"/>
      <color rgb="FFFF0000"/>
      <name val="TH Niramit AS"/>
      <family val="0"/>
    </font>
    <font>
      <sz val="12.3"/>
      <color rgb="FFFF0000"/>
      <name val="TH Niramit AS"/>
      <family val="0"/>
    </font>
    <font>
      <b/>
      <u val="single"/>
      <sz val="14"/>
      <color theme="1"/>
      <name val="TH Niramit AS"/>
      <family val="0"/>
    </font>
    <font>
      <sz val="15"/>
      <color theme="1"/>
      <name val="TH Niramit AS"/>
      <family val="0"/>
    </font>
    <font>
      <b/>
      <sz val="15"/>
      <color theme="1"/>
      <name val="TH Niramit AS"/>
      <family val="0"/>
    </font>
    <font>
      <sz val="13"/>
      <color theme="1"/>
      <name val="TH Niramit AS"/>
      <family val="0"/>
    </font>
    <font>
      <b/>
      <sz val="11"/>
      <color theme="1"/>
      <name val="TH Niramit AS"/>
      <family val="0"/>
    </font>
    <font>
      <b/>
      <sz val="13"/>
      <color theme="1"/>
      <name val="TH Niramit AS"/>
      <family val="0"/>
    </font>
    <font>
      <sz val="16"/>
      <color rgb="FFFF0000"/>
      <name val="TH Niramit AS"/>
      <family val="0"/>
    </font>
    <font>
      <sz val="14"/>
      <color rgb="FFFF0000"/>
      <name val="TH Niramit AS"/>
      <family val="0"/>
    </font>
    <font>
      <sz val="9"/>
      <color theme="1"/>
      <name val="TH Niramit AS"/>
      <family val="0"/>
    </font>
    <font>
      <sz val="8"/>
      <color theme="1"/>
      <name val="TH Niramit AS"/>
      <family val="0"/>
    </font>
    <font>
      <b/>
      <sz val="12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/>
      <right style="thin"/>
      <top style="thin"/>
      <bottom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2" applyNumberFormat="0" applyAlignment="0" applyProtection="0"/>
    <xf numFmtId="0" fontId="79" fillId="0" borderId="3" applyNumberFormat="0" applyFill="0" applyAlignment="0" applyProtection="0"/>
    <xf numFmtId="0" fontId="80" fillId="22" borderId="0" applyNumberFormat="0" applyBorder="0" applyAlignment="0" applyProtection="0"/>
    <xf numFmtId="0" fontId="81" fillId="23" borderId="1" applyNumberFormat="0" applyAlignment="0" applyProtection="0"/>
    <xf numFmtId="0" fontId="82" fillId="24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8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85" fillId="20" borderId="5" applyNumberFormat="0" applyAlignment="0" applyProtection="0"/>
    <xf numFmtId="0" fontId="0" fillId="32" borderId="6" applyNumberFormat="0" applyFont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757">
    <xf numFmtId="0" fontId="0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 horizontal="right" indent="1"/>
    </xf>
    <xf numFmtId="43" fontId="4" fillId="0" borderId="0" xfId="0" applyNumberFormat="1" applyFont="1" applyAlignment="1">
      <alignment/>
    </xf>
    <xf numFmtId="43" fontId="4" fillId="0" borderId="0" xfId="36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91" fillId="0" borderId="0" xfId="36" applyFont="1" applyAlignment="1">
      <alignment/>
    </xf>
    <xf numFmtId="0" fontId="92" fillId="0" borderId="0" xfId="0" applyFont="1" applyAlignment="1">
      <alignment/>
    </xf>
    <xf numFmtId="43" fontId="93" fillId="0" borderId="0" xfId="36" applyFont="1" applyAlignment="1">
      <alignment/>
    </xf>
    <xf numFmtId="0" fontId="94" fillId="0" borderId="0" xfId="0" applyFont="1" applyAlignment="1">
      <alignment/>
    </xf>
    <xf numFmtId="43" fontId="94" fillId="0" borderId="0" xfId="0" applyNumberFormat="1" applyFont="1" applyAlignment="1">
      <alignment/>
    </xf>
    <xf numFmtId="0" fontId="6" fillId="0" borderId="0" xfId="0" applyFont="1" applyAlignment="1">
      <alignment/>
    </xf>
    <xf numFmtId="0" fontId="9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43" fontId="8" fillId="0" borderId="12" xfId="38" applyFont="1" applyBorder="1" applyAlignment="1">
      <alignment horizontal="left"/>
    </xf>
    <xf numFmtId="43" fontId="7" fillId="0" borderId="11" xfId="38" applyFont="1" applyBorder="1" applyAlignment="1">
      <alignment horizontal="center"/>
    </xf>
    <xf numFmtId="43" fontId="7" fillId="0" borderId="13" xfId="38" applyFont="1" applyBorder="1" applyAlignment="1">
      <alignment horizontal="left"/>
    </xf>
    <xf numFmtId="43" fontId="7" fillId="0" borderId="14" xfId="38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43" fontId="96" fillId="0" borderId="0" xfId="36" applyFont="1" applyAlignment="1">
      <alignment/>
    </xf>
    <xf numFmtId="0" fontId="97" fillId="0" borderId="0" xfId="0" applyFont="1" applyAlignment="1">
      <alignment/>
    </xf>
    <xf numFmtId="43" fontId="96" fillId="0" borderId="15" xfId="36" applyFont="1" applyBorder="1" applyAlignment="1">
      <alignment/>
    </xf>
    <xf numFmtId="0" fontId="97" fillId="0" borderId="11" xfId="0" applyFont="1" applyBorder="1" applyAlignment="1">
      <alignment horizontal="center"/>
    </xf>
    <xf numFmtId="43" fontId="96" fillId="0" borderId="16" xfId="36" applyFont="1" applyBorder="1" applyAlignment="1">
      <alignment/>
    </xf>
    <xf numFmtId="0" fontId="96" fillId="0" borderId="16" xfId="0" applyFont="1" applyBorder="1" applyAlignment="1">
      <alignment/>
    </xf>
    <xf numFmtId="0" fontId="96" fillId="0" borderId="17" xfId="0" applyFont="1" applyBorder="1" applyAlignment="1">
      <alignment/>
    </xf>
    <xf numFmtId="43" fontId="96" fillId="0" borderId="17" xfId="36" applyFont="1" applyBorder="1" applyAlignment="1">
      <alignment/>
    </xf>
    <xf numFmtId="43" fontId="97" fillId="0" borderId="11" xfId="36" applyFont="1" applyBorder="1" applyAlignment="1">
      <alignment/>
    </xf>
    <xf numFmtId="0" fontId="9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43" fontId="9" fillId="0" borderId="11" xfId="0" applyNumberFormat="1" applyFont="1" applyBorder="1" applyAlignment="1">
      <alignment/>
    </xf>
    <xf numFmtId="0" fontId="96" fillId="0" borderId="11" xfId="0" applyFont="1" applyBorder="1" applyAlignment="1">
      <alignment/>
    </xf>
    <xf numFmtId="43" fontId="10" fillId="0" borderId="11" xfId="36" applyFont="1" applyBorder="1" applyAlignment="1">
      <alignment/>
    </xf>
    <xf numFmtId="43" fontId="96" fillId="0" borderId="18" xfId="36" applyFont="1" applyBorder="1" applyAlignment="1">
      <alignment/>
    </xf>
    <xf numFmtId="43" fontId="96" fillId="0" borderId="0" xfId="36" applyNumberFormat="1" applyFont="1" applyAlignment="1">
      <alignment/>
    </xf>
    <xf numFmtId="0" fontId="96" fillId="0" borderId="11" xfId="0" applyFont="1" applyBorder="1" applyAlignment="1">
      <alignment horizontal="center"/>
    </xf>
    <xf numFmtId="43" fontId="5" fillId="0" borderId="0" xfId="38" applyFont="1" applyAlignment="1">
      <alignment/>
    </xf>
    <xf numFmtId="43" fontId="6" fillId="0" borderId="0" xfId="38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43" fontId="12" fillId="0" borderId="0" xfId="38" applyNumberFormat="1" applyFont="1" applyAlignment="1">
      <alignment/>
    </xf>
    <xf numFmtId="43" fontId="5" fillId="0" borderId="0" xfId="38" applyFont="1" applyBorder="1" applyAlignment="1">
      <alignment/>
    </xf>
    <xf numFmtId="43" fontId="6" fillId="0" borderId="0" xfId="38" applyFont="1" applyBorder="1" applyAlignment="1">
      <alignment/>
    </xf>
    <xf numFmtId="43" fontId="6" fillId="0" borderId="15" xfId="38" applyFont="1" applyBorder="1" applyAlignment="1">
      <alignment/>
    </xf>
    <xf numFmtId="43" fontId="5" fillId="0" borderId="19" xfId="38" applyFont="1" applyBorder="1" applyAlignment="1">
      <alignment/>
    </xf>
    <xf numFmtId="43" fontId="5" fillId="0" borderId="19" xfId="0" applyNumberFormat="1" applyFont="1" applyBorder="1" applyAlignment="1">
      <alignment/>
    </xf>
    <xf numFmtId="0" fontId="98" fillId="0" borderId="0" xfId="0" applyFont="1" applyAlignment="1">
      <alignment/>
    </xf>
    <xf numFmtId="0" fontId="99" fillId="0" borderId="11" xfId="0" applyFont="1" applyBorder="1" applyAlignment="1">
      <alignment/>
    </xf>
    <xf numFmtId="0" fontId="100" fillId="0" borderId="11" xfId="0" applyFont="1" applyBorder="1" applyAlignment="1">
      <alignment/>
    </xf>
    <xf numFmtId="43" fontId="99" fillId="0" borderId="11" xfId="36" applyFont="1" applyBorder="1" applyAlignment="1">
      <alignment/>
    </xf>
    <xf numFmtId="0" fontId="99" fillId="0" borderId="11" xfId="0" applyFont="1" applyBorder="1" applyAlignment="1">
      <alignment horizontal="center"/>
    </xf>
    <xf numFmtId="0" fontId="95" fillId="0" borderId="11" xfId="0" applyFont="1" applyBorder="1" applyAlignment="1">
      <alignment/>
    </xf>
    <xf numFmtId="43" fontId="100" fillId="0" borderId="11" xfId="36" applyFont="1" applyBorder="1" applyAlignment="1">
      <alignment/>
    </xf>
    <xf numFmtId="0" fontId="9" fillId="0" borderId="0" xfId="0" applyFont="1" applyAlignment="1">
      <alignment/>
    </xf>
    <xf numFmtId="43" fontId="9" fillId="0" borderId="0" xfId="36" applyFont="1" applyAlignment="1">
      <alignment/>
    </xf>
    <xf numFmtId="43" fontId="9" fillId="0" borderId="19" xfId="36" applyFont="1" applyBorder="1" applyAlignment="1">
      <alignment/>
    </xf>
    <xf numFmtId="0" fontId="10" fillId="0" borderId="0" xfId="0" applyFont="1" applyAlignment="1">
      <alignment/>
    </xf>
    <xf numFmtId="43" fontId="10" fillId="0" borderId="0" xfId="36" applyFont="1" applyAlignment="1">
      <alignment/>
    </xf>
    <xf numFmtId="43" fontId="10" fillId="0" borderId="0" xfId="36" applyFont="1" applyBorder="1" applyAlignment="1">
      <alignment/>
    </xf>
    <xf numFmtId="0" fontId="101" fillId="0" borderId="0" xfId="0" applyFont="1" applyAlignment="1">
      <alignment/>
    </xf>
    <xf numFmtId="0" fontId="18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20" xfId="0" applyFont="1" applyBorder="1" applyAlignment="1">
      <alignment/>
    </xf>
    <xf numFmtId="43" fontId="14" fillId="0" borderId="0" xfId="36" applyFont="1" applyAlignment="1">
      <alignment horizontal="center"/>
    </xf>
    <xf numFmtId="0" fontId="15" fillId="0" borderId="0" xfId="0" applyFont="1" applyAlignment="1">
      <alignment horizontal="center"/>
    </xf>
    <xf numFmtId="0" fontId="101" fillId="0" borderId="17" xfId="0" applyFont="1" applyBorder="1" applyAlignment="1">
      <alignment/>
    </xf>
    <xf numFmtId="43" fontId="15" fillId="0" borderId="17" xfId="36" applyFont="1" applyBorder="1" applyAlignment="1">
      <alignment/>
    </xf>
    <xf numFmtId="43" fontId="15" fillId="0" borderId="20" xfId="36" applyFont="1" applyBorder="1" applyAlignment="1">
      <alignment/>
    </xf>
    <xf numFmtId="43" fontId="15" fillId="0" borderId="0" xfId="36" applyFont="1" applyAlignment="1">
      <alignment/>
    </xf>
    <xf numFmtId="43" fontId="15" fillId="0" borderId="11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43" fontId="102" fillId="0" borderId="0" xfId="36" applyFont="1" applyAlignment="1">
      <alignment/>
    </xf>
    <xf numFmtId="0" fontId="103" fillId="0" borderId="0" xfId="0" applyFont="1" applyAlignment="1">
      <alignment/>
    </xf>
    <xf numFmtId="43" fontId="103" fillId="0" borderId="0" xfId="36" applyFont="1" applyAlignment="1">
      <alignment/>
    </xf>
    <xf numFmtId="0" fontId="99" fillId="0" borderId="0" xfId="0" applyFont="1" applyAlignment="1">
      <alignment/>
    </xf>
    <xf numFmtId="43" fontId="15" fillId="0" borderId="0" xfId="0" applyNumberFormat="1" applyFont="1" applyAlignment="1">
      <alignment/>
    </xf>
    <xf numFmtId="43" fontId="14" fillId="0" borderId="21" xfId="36" applyFont="1" applyBorder="1" applyAlignment="1">
      <alignment/>
    </xf>
    <xf numFmtId="43" fontId="15" fillId="0" borderId="0" xfId="36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3" fontId="10" fillId="0" borderId="11" xfId="38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3" fontId="10" fillId="0" borderId="11" xfId="38" applyFont="1" applyBorder="1" applyAlignment="1">
      <alignment/>
    </xf>
    <xf numFmtId="43" fontId="9" fillId="0" borderId="11" xfId="38" applyFont="1" applyBorder="1" applyAlignment="1">
      <alignment/>
    </xf>
    <xf numFmtId="49" fontId="10" fillId="0" borderId="0" xfId="0" applyNumberFormat="1" applyFont="1" applyAlignment="1">
      <alignment/>
    </xf>
    <xf numFmtId="43" fontId="10" fillId="0" borderId="0" xfId="38" applyFont="1" applyAlignment="1">
      <alignment/>
    </xf>
    <xf numFmtId="43" fontId="99" fillId="0" borderId="0" xfId="36" applyFont="1" applyAlignment="1">
      <alignment/>
    </xf>
    <xf numFmtId="0" fontId="100" fillId="0" borderId="0" xfId="0" applyFont="1" applyAlignment="1">
      <alignment/>
    </xf>
    <xf numFmtId="43" fontId="99" fillId="0" borderId="15" xfId="36" applyFont="1" applyBorder="1" applyAlignment="1">
      <alignment/>
    </xf>
    <xf numFmtId="43" fontId="10" fillId="0" borderId="11" xfId="38" applyFont="1" applyFill="1" applyBorder="1" applyAlignment="1">
      <alignment/>
    </xf>
    <xf numFmtId="0" fontId="101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8" fillId="0" borderId="17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43" fontId="14" fillId="0" borderId="0" xfId="36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1" fillId="0" borderId="17" xfId="0" applyFont="1" applyFill="1" applyBorder="1" applyAlignment="1">
      <alignment/>
    </xf>
    <xf numFmtId="43" fontId="15" fillId="0" borderId="17" xfId="36" applyFont="1" applyFill="1" applyBorder="1" applyAlignment="1">
      <alignment/>
    </xf>
    <xf numFmtId="43" fontId="15" fillId="0" borderId="20" xfId="36" applyFont="1" applyFill="1" applyBorder="1" applyAlignment="1">
      <alignment/>
    </xf>
    <xf numFmtId="43" fontId="15" fillId="0" borderId="0" xfId="36" applyFont="1" applyFill="1" applyAlignment="1">
      <alignment/>
    </xf>
    <xf numFmtId="43" fontId="15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3" fontId="102" fillId="0" borderId="0" xfId="36" applyFont="1" applyFill="1" applyAlignment="1">
      <alignment/>
    </xf>
    <xf numFmtId="0" fontId="103" fillId="0" borderId="0" xfId="0" applyFont="1" applyFill="1" applyAlignment="1">
      <alignment/>
    </xf>
    <xf numFmtId="43" fontId="103" fillId="0" borderId="0" xfId="36" applyFont="1" applyFill="1" applyAlignment="1">
      <alignment/>
    </xf>
    <xf numFmtId="0" fontId="96" fillId="0" borderId="0" xfId="0" applyFont="1" applyFill="1" applyAlignment="1">
      <alignment/>
    </xf>
    <xf numFmtId="43" fontId="97" fillId="0" borderId="11" xfId="36" applyFont="1" applyFill="1" applyBorder="1" applyAlignment="1">
      <alignment/>
    </xf>
    <xf numFmtId="43" fontId="21" fillId="0" borderId="11" xfId="36" applyFont="1" applyFill="1" applyBorder="1" applyAlignment="1">
      <alignment/>
    </xf>
    <xf numFmtId="43" fontId="20" fillId="0" borderId="11" xfId="36" applyFont="1" applyFill="1" applyBorder="1" applyAlignment="1">
      <alignment/>
    </xf>
    <xf numFmtId="195" fontId="8" fillId="0" borderId="11" xfId="0" applyNumberFormat="1" applyFont="1" applyFill="1" applyBorder="1" applyAlignment="1">
      <alignment horizontal="left"/>
    </xf>
    <xf numFmtId="43" fontId="21" fillId="0" borderId="11" xfId="36" applyFont="1" applyFill="1" applyBorder="1" applyAlignment="1">
      <alignment horizontal="center"/>
    </xf>
    <xf numFmtId="195" fontId="8" fillId="0" borderId="11" xfId="0" applyNumberFormat="1" applyFont="1" applyFill="1" applyBorder="1" applyAlignment="1">
      <alignment/>
    </xf>
    <xf numFmtId="195" fontId="8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104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/>
    </xf>
    <xf numFmtId="43" fontId="8" fillId="0" borderId="20" xfId="36" applyFont="1" applyFill="1" applyBorder="1" applyAlignment="1">
      <alignment/>
    </xf>
    <xf numFmtId="43" fontId="8" fillId="0" borderId="11" xfId="36" applyFont="1" applyFill="1" applyBorder="1" applyAlignment="1">
      <alignment/>
    </xf>
    <xf numFmtId="43" fontId="20" fillId="0" borderId="22" xfId="36" applyFont="1" applyFill="1" applyBorder="1" applyAlignment="1">
      <alignment/>
    </xf>
    <xf numFmtId="43" fontId="20" fillId="0" borderId="0" xfId="36" applyFont="1" applyFill="1" applyBorder="1" applyAlignment="1">
      <alignment/>
    </xf>
    <xf numFmtId="43" fontId="21" fillId="0" borderId="22" xfId="36" applyFont="1" applyFill="1" applyBorder="1" applyAlignment="1">
      <alignment/>
    </xf>
    <xf numFmtId="43" fontId="21" fillId="0" borderId="15" xfId="36" applyFont="1" applyFill="1" applyBorder="1" applyAlignment="1">
      <alignment/>
    </xf>
    <xf numFmtId="43" fontId="20" fillId="0" borderId="11" xfId="36" applyFont="1" applyFill="1" applyBorder="1" applyAlignment="1">
      <alignment horizontal="center"/>
    </xf>
    <xf numFmtId="0" fontId="21" fillId="0" borderId="0" xfId="0" applyFont="1" applyFill="1" applyAlignment="1">
      <alignment/>
    </xf>
    <xf numFmtId="43" fontId="95" fillId="0" borderId="0" xfId="36" applyFont="1" applyAlignment="1">
      <alignment/>
    </xf>
    <xf numFmtId="43" fontId="95" fillId="0" borderId="0" xfId="0" applyNumberFormat="1" applyFont="1" applyAlignment="1">
      <alignment/>
    </xf>
    <xf numFmtId="0" fontId="95" fillId="0" borderId="0" xfId="0" applyFont="1" applyFill="1" applyAlignment="1">
      <alignment/>
    </xf>
    <xf numFmtId="15" fontId="99" fillId="0" borderId="11" xfId="0" applyNumberFormat="1" applyFont="1" applyBorder="1" applyAlignment="1">
      <alignment horizontal="center"/>
    </xf>
    <xf numFmtId="43" fontId="96" fillId="0" borderId="0" xfId="36" applyFont="1" applyFill="1" applyAlignment="1">
      <alignment/>
    </xf>
    <xf numFmtId="43" fontId="10" fillId="0" borderId="17" xfId="36" applyFont="1" applyFill="1" applyBorder="1" applyAlignment="1">
      <alignment/>
    </xf>
    <xf numFmtId="0" fontId="95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43" fontId="8" fillId="0" borderId="17" xfId="38" applyFont="1" applyFill="1" applyBorder="1" applyAlignment="1">
      <alignment horizontal="center" vertical="center"/>
    </xf>
    <xf numFmtId="43" fontId="8" fillId="0" borderId="17" xfId="38" applyFont="1" applyFill="1" applyBorder="1" applyAlignment="1">
      <alignment vertical="center"/>
    </xf>
    <xf numFmtId="43" fontId="8" fillId="0" borderId="17" xfId="38" applyFont="1" applyFill="1" applyBorder="1" applyAlignment="1">
      <alignment/>
    </xf>
    <xf numFmtId="43" fontId="8" fillId="0" borderId="18" xfId="38" applyFont="1" applyFill="1" applyBorder="1" applyAlignment="1">
      <alignment vertical="center"/>
    </xf>
    <xf numFmtId="43" fontId="7" fillId="0" borderId="11" xfId="38" applyFont="1" applyFill="1" applyBorder="1" applyAlignment="1">
      <alignment/>
    </xf>
    <xf numFmtId="43" fontId="7" fillId="0" borderId="11" xfId="38" applyFont="1" applyFill="1" applyBorder="1" applyAlignment="1">
      <alignment horizontal="center" vertical="center"/>
    </xf>
    <xf numFmtId="43" fontId="8" fillId="0" borderId="11" xfId="38" applyFont="1" applyFill="1" applyBorder="1" applyAlignment="1">
      <alignment horizontal="center"/>
    </xf>
    <xf numFmtId="43" fontId="8" fillId="0" borderId="16" xfId="38" applyFont="1" applyFill="1" applyBorder="1" applyAlignment="1">
      <alignment/>
    </xf>
    <xf numFmtId="43" fontId="8" fillId="0" borderId="18" xfId="38" applyFont="1" applyFill="1" applyBorder="1" applyAlignment="1">
      <alignment/>
    </xf>
    <xf numFmtId="43" fontId="7" fillId="0" borderId="21" xfId="38" applyFont="1" applyFill="1" applyBorder="1" applyAlignment="1">
      <alignment/>
    </xf>
    <xf numFmtId="43" fontId="8" fillId="0" borderId="21" xfId="38" applyFont="1" applyFill="1" applyBorder="1" applyAlignment="1">
      <alignment/>
    </xf>
    <xf numFmtId="0" fontId="99" fillId="0" borderId="0" xfId="0" applyFont="1" applyFill="1" applyAlignment="1">
      <alignment/>
    </xf>
    <xf numFmtId="0" fontId="99" fillId="0" borderId="0" xfId="0" applyFont="1" applyAlignment="1">
      <alignment horizontal="center"/>
    </xf>
    <xf numFmtId="0" fontId="105" fillId="0" borderId="0" xfId="0" applyFont="1" applyAlignment="1">
      <alignment/>
    </xf>
    <xf numFmtId="43" fontId="99" fillId="0" borderId="0" xfId="36" applyFont="1" applyFill="1" applyAlignment="1">
      <alignment/>
    </xf>
    <xf numFmtId="43" fontId="100" fillId="0" borderId="23" xfId="36" applyFont="1" applyBorder="1" applyAlignment="1">
      <alignment/>
    </xf>
    <xf numFmtId="43" fontId="99" fillId="0" borderId="23" xfId="36" applyFont="1" applyBorder="1" applyAlignment="1">
      <alignment/>
    </xf>
    <xf numFmtId="0" fontId="100" fillId="0" borderId="0" xfId="0" applyFont="1" applyFill="1" applyAlignment="1">
      <alignment/>
    </xf>
    <xf numFmtId="43" fontId="100" fillId="0" borderId="24" xfId="36" applyFont="1" applyFill="1" applyBorder="1" applyAlignment="1">
      <alignment/>
    </xf>
    <xf numFmtId="43" fontId="100" fillId="0" borderId="0" xfId="36" applyFont="1" applyFill="1" applyBorder="1" applyAlignment="1">
      <alignment/>
    </xf>
    <xf numFmtId="43" fontId="100" fillId="0" borderId="23" xfId="36" applyFont="1" applyFill="1" applyBorder="1" applyAlignment="1">
      <alignment/>
    </xf>
    <xf numFmtId="0" fontId="106" fillId="0" borderId="0" xfId="0" applyFont="1" applyFill="1" applyAlignment="1">
      <alignment/>
    </xf>
    <xf numFmtId="0" fontId="106" fillId="0" borderId="0" xfId="0" applyFont="1" applyAlignment="1">
      <alignment/>
    </xf>
    <xf numFmtId="0" fontId="24" fillId="0" borderId="12" xfId="0" applyFont="1" applyBorder="1" applyAlignment="1">
      <alignment horizontal="left" vertical="center"/>
    </xf>
    <xf numFmtId="43" fontId="106" fillId="0" borderId="17" xfId="36" applyFont="1" applyBorder="1" applyAlignment="1">
      <alignment horizontal="center"/>
    </xf>
    <xf numFmtId="0" fontId="106" fillId="0" borderId="17" xfId="0" applyFont="1" applyBorder="1" applyAlignment="1">
      <alignment/>
    </xf>
    <xf numFmtId="43" fontId="106" fillId="0" borderId="17" xfId="36" applyFont="1" applyFill="1" applyBorder="1" applyAlignment="1">
      <alignment/>
    </xf>
    <xf numFmtId="0" fontId="24" fillId="0" borderId="12" xfId="0" applyFont="1" applyBorder="1" applyAlignment="1">
      <alignment horizontal="left"/>
    </xf>
    <xf numFmtId="43" fontId="24" fillId="0" borderId="12" xfId="38" applyFont="1" applyBorder="1" applyAlignment="1">
      <alignment horizontal="left"/>
    </xf>
    <xf numFmtId="43" fontId="106" fillId="0" borderId="17" xfId="36" applyFont="1" applyBorder="1" applyAlignment="1">
      <alignment/>
    </xf>
    <xf numFmtId="0" fontId="107" fillId="0" borderId="17" xfId="0" applyFont="1" applyBorder="1" applyAlignment="1">
      <alignment horizontal="right"/>
    </xf>
    <xf numFmtId="0" fontId="107" fillId="0" borderId="17" xfId="0" applyFont="1" applyBorder="1" applyAlignment="1">
      <alignment/>
    </xf>
    <xf numFmtId="43" fontId="107" fillId="0" borderId="11" xfId="36" applyFont="1" applyBorder="1" applyAlignment="1">
      <alignment/>
    </xf>
    <xf numFmtId="0" fontId="107" fillId="0" borderId="18" xfId="0" applyFont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96" fillId="0" borderId="25" xfId="0" applyFont="1" applyBorder="1" applyAlignment="1">
      <alignment/>
    </xf>
    <xf numFmtId="0" fontId="96" fillId="0" borderId="26" xfId="0" applyFont="1" applyBorder="1" applyAlignment="1">
      <alignment/>
    </xf>
    <xf numFmtId="0" fontId="106" fillId="0" borderId="26" xfId="0" applyFont="1" applyBorder="1" applyAlignment="1">
      <alignment/>
    </xf>
    <xf numFmtId="0" fontId="96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43" fontId="10" fillId="0" borderId="26" xfId="36" applyNumberFormat="1" applyFont="1" applyBorder="1" applyAlignment="1">
      <alignment/>
    </xf>
    <xf numFmtId="43" fontId="10" fillId="0" borderId="0" xfId="36" applyNumberFormat="1" applyFont="1" applyAlignment="1">
      <alignment/>
    </xf>
    <xf numFmtId="43" fontId="10" fillId="0" borderId="11" xfId="0" applyNumberFormat="1" applyFont="1" applyBorder="1" applyAlignment="1">
      <alignment horizontal="center" vertical="center" wrapText="1"/>
    </xf>
    <xf numFmtId="43" fontId="10" fillId="0" borderId="25" xfId="36" applyNumberFormat="1" applyFont="1" applyBorder="1" applyAlignment="1">
      <alignment/>
    </xf>
    <xf numFmtId="43" fontId="25" fillId="0" borderId="0" xfId="36" applyNumberFormat="1" applyFont="1" applyAlignment="1">
      <alignment/>
    </xf>
    <xf numFmtId="43" fontId="10" fillId="0" borderId="21" xfId="36" applyNumberFormat="1" applyFont="1" applyBorder="1" applyAlignment="1">
      <alignment/>
    </xf>
    <xf numFmtId="0" fontId="96" fillId="0" borderId="25" xfId="0" applyFont="1" applyBorder="1" applyAlignment="1">
      <alignment horizontal="left"/>
    </xf>
    <xf numFmtId="43" fontId="6" fillId="0" borderId="0" xfId="36" applyFont="1" applyFill="1" applyAlignment="1">
      <alignment/>
    </xf>
    <xf numFmtId="43" fontId="106" fillId="0" borderId="17" xfId="36" applyFont="1" applyFill="1" applyBorder="1" applyAlignment="1">
      <alignment horizontal="center"/>
    </xf>
    <xf numFmtId="43" fontId="95" fillId="0" borderId="17" xfId="36" applyFont="1" applyFill="1" applyBorder="1" applyAlignment="1">
      <alignment horizontal="center"/>
    </xf>
    <xf numFmtId="0" fontId="6" fillId="0" borderId="0" xfId="0" applyFont="1" applyAlignment="1">
      <alignment/>
    </xf>
    <xf numFmtId="49" fontId="6" fillId="0" borderId="0" xfId="38" applyNumberFormat="1" applyFont="1" applyAlignment="1">
      <alignment horizontal="right"/>
    </xf>
    <xf numFmtId="49" fontId="6" fillId="0" borderId="15" xfId="38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7" fillId="0" borderId="11" xfId="36" applyFont="1" applyFill="1" applyBorder="1" applyAlignment="1">
      <alignment/>
    </xf>
    <xf numFmtId="43" fontId="100" fillId="0" borderId="19" xfId="36" applyFont="1" applyFill="1" applyBorder="1" applyAlignment="1">
      <alignment/>
    </xf>
    <xf numFmtId="43" fontId="107" fillId="0" borderId="21" xfId="36" applyFont="1" applyFill="1" applyBorder="1" applyAlignment="1">
      <alignment/>
    </xf>
    <xf numFmtId="0" fontId="106" fillId="0" borderId="18" xfId="0" applyFont="1" applyFill="1" applyBorder="1" applyAlignment="1">
      <alignment/>
    </xf>
    <xf numFmtId="43" fontId="107" fillId="0" borderId="21" xfId="0" applyNumberFormat="1" applyFont="1" applyFill="1" applyBorder="1" applyAlignment="1">
      <alignment/>
    </xf>
    <xf numFmtId="43" fontId="27" fillId="0" borderId="25" xfId="36" applyFont="1" applyFill="1" applyBorder="1" applyAlignment="1">
      <alignment/>
    </xf>
    <xf numFmtId="195" fontId="27" fillId="0" borderId="25" xfId="0" applyNumberFormat="1" applyFont="1" applyFill="1" applyBorder="1" applyAlignment="1">
      <alignment/>
    </xf>
    <xf numFmtId="0" fontId="27" fillId="0" borderId="26" xfId="0" applyFont="1" applyFill="1" applyBorder="1" applyAlignment="1">
      <alignment/>
    </xf>
    <xf numFmtId="43" fontId="27" fillId="0" borderId="26" xfId="36" applyFont="1" applyFill="1" applyBorder="1" applyAlignment="1">
      <alignment/>
    </xf>
    <xf numFmtId="195" fontId="27" fillId="0" borderId="26" xfId="0" applyNumberFormat="1" applyFont="1" applyFill="1" applyBorder="1" applyAlignment="1">
      <alignment/>
    </xf>
    <xf numFmtId="195" fontId="27" fillId="0" borderId="26" xfId="0" applyNumberFormat="1" applyFont="1" applyBorder="1" applyAlignment="1">
      <alignment/>
    </xf>
    <xf numFmtId="195" fontId="27" fillId="0" borderId="27" xfId="0" applyNumberFormat="1" applyFont="1" applyFill="1" applyBorder="1" applyAlignment="1">
      <alignment/>
    </xf>
    <xf numFmtId="195" fontId="27" fillId="0" borderId="18" xfId="0" applyNumberFormat="1" applyFont="1" applyFill="1" applyBorder="1" applyAlignment="1">
      <alignment/>
    </xf>
    <xf numFmtId="195" fontId="27" fillId="0" borderId="28" xfId="0" applyNumberFormat="1" applyFont="1" applyFill="1" applyBorder="1" applyAlignment="1">
      <alignment/>
    </xf>
    <xf numFmtId="195" fontId="27" fillId="0" borderId="28" xfId="0" applyNumberFormat="1" applyFont="1" applyBorder="1" applyAlignment="1">
      <alignment/>
    </xf>
    <xf numFmtId="0" fontId="27" fillId="0" borderId="18" xfId="0" applyFont="1" applyFill="1" applyBorder="1" applyAlignment="1">
      <alignment horizontal="center"/>
    </xf>
    <xf numFmtId="195" fontId="27" fillId="0" borderId="29" xfId="0" applyNumberFormat="1" applyFont="1" applyBorder="1" applyAlignment="1">
      <alignment/>
    </xf>
    <xf numFmtId="43" fontId="27" fillId="0" borderId="29" xfId="36" applyFont="1" applyFill="1" applyBorder="1" applyAlignment="1">
      <alignment/>
    </xf>
    <xf numFmtId="195" fontId="27" fillId="0" borderId="29" xfId="0" applyNumberFormat="1" applyFont="1" applyFill="1" applyBorder="1" applyAlignment="1">
      <alignment/>
    </xf>
    <xf numFmtId="195" fontId="26" fillId="0" borderId="11" xfId="0" applyNumberFormat="1" applyFont="1" applyFill="1" applyBorder="1" applyAlignment="1">
      <alignment horizontal="right"/>
    </xf>
    <xf numFmtId="195" fontId="27" fillId="0" borderId="11" xfId="0" applyNumberFormat="1" applyFont="1" applyFill="1" applyBorder="1" applyAlignment="1">
      <alignment/>
    </xf>
    <xf numFmtId="195" fontId="26" fillId="0" borderId="29" xfId="0" applyNumberFormat="1" applyFont="1" applyFill="1" applyBorder="1" applyAlignment="1">
      <alignment/>
    </xf>
    <xf numFmtId="195" fontId="26" fillId="0" borderId="28" xfId="0" applyNumberFormat="1" applyFont="1" applyFill="1" applyBorder="1" applyAlignment="1">
      <alignment/>
    </xf>
    <xf numFmtId="195" fontId="27" fillId="0" borderId="17" xfId="0" applyNumberFormat="1" applyFont="1" applyFill="1" applyBorder="1" applyAlignment="1">
      <alignment/>
    </xf>
    <xf numFmtId="195" fontId="26" fillId="0" borderId="17" xfId="0" applyNumberFormat="1" applyFont="1" applyFill="1" applyBorder="1" applyAlignment="1">
      <alignment/>
    </xf>
    <xf numFmtId="43" fontId="26" fillId="0" borderId="26" xfId="36" applyFont="1" applyFill="1" applyBorder="1" applyAlignment="1">
      <alignment/>
    </xf>
    <xf numFmtId="195" fontId="26" fillId="0" borderId="26" xfId="0" applyNumberFormat="1" applyFont="1" applyFill="1" applyBorder="1" applyAlignment="1">
      <alignment/>
    </xf>
    <xf numFmtId="0" fontId="27" fillId="0" borderId="2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3" fontId="26" fillId="0" borderId="29" xfId="36" applyFont="1" applyFill="1" applyBorder="1" applyAlignment="1">
      <alignment/>
    </xf>
    <xf numFmtId="0" fontId="27" fillId="0" borderId="26" xfId="0" applyFont="1" applyFill="1" applyBorder="1" applyAlignment="1">
      <alignment/>
    </xf>
    <xf numFmtId="195" fontId="27" fillId="0" borderId="26" xfId="0" applyNumberFormat="1" applyFont="1" applyFill="1" applyBorder="1" applyAlignment="1">
      <alignment/>
    </xf>
    <xf numFmtId="195" fontId="27" fillId="0" borderId="28" xfId="0" applyNumberFormat="1" applyFont="1" applyFill="1" applyBorder="1" applyAlignment="1">
      <alignment/>
    </xf>
    <xf numFmtId="0" fontId="27" fillId="0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/>
    </xf>
    <xf numFmtId="0" fontId="27" fillId="0" borderId="29" xfId="0" applyFont="1" applyFill="1" applyBorder="1" applyAlignment="1">
      <alignment/>
    </xf>
    <xf numFmtId="43" fontId="26" fillId="0" borderId="27" xfId="36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 quotePrefix="1">
      <alignment horizontal="left"/>
    </xf>
    <xf numFmtId="43" fontId="27" fillId="0" borderId="26" xfId="36" applyFont="1" applyFill="1" applyBorder="1" applyAlignment="1">
      <alignment/>
    </xf>
    <xf numFmtId="0" fontId="26" fillId="0" borderId="29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 quotePrefix="1">
      <alignment horizontal="center"/>
    </xf>
    <xf numFmtId="43" fontId="27" fillId="0" borderId="29" xfId="0" applyNumberFormat="1" applyFont="1" applyFill="1" applyBorder="1" applyAlignment="1">
      <alignment/>
    </xf>
    <xf numFmtId="43" fontId="27" fillId="0" borderId="28" xfId="0" applyNumberFormat="1" applyFont="1" applyFill="1" applyBorder="1" applyAlignment="1">
      <alignment horizontal="center"/>
    </xf>
    <xf numFmtId="43" fontId="27" fillId="0" borderId="28" xfId="0" applyNumberFormat="1" applyFont="1" applyFill="1" applyBorder="1" applyAlignment="1">
      <alignment/>
    </xf>
    <xf numFmtId="43" fontId="27" fillId="0" borderId="0" xfId="36" applyFont="1" applyFill="1" applyAlignment="1">
      <alignment/>
    </xf>
    <xf numFmtId="43" fontId="26" fillId="0" borderId="29" xfId="0" applyNumberFormat="1" applyFont="1" applyFill="1" applyBorder="1" applyAlignment="1">
      <alignment horizontal="center"/>
    </xf>
    <xf numFmtId="43" fontId="27" fillId="0" borderId="26" xfId="0" applyNumberFormat="1" applyFont="1" applyFill="1" applyBorder="1" applyAlignment="1">
      <alignment/>
    </xf>
    <xf numFmtId="43" fontId="26" fillId="0" borderId="28" xfId="36" applyFont="1" applyFill="1" applyBorder="1" applyAlignment="1">
      <alignment horizontal="center"/>
    </xf>
    <xf numFmtId="43" fontId="26" fillId="0" borderId="28" xfId="0" applyNumberFormat="1" applyFont="1" applyFill="1" applyBorder="1" applyAlignment="1">
      <alignment horizontal="center"/>
    </xf>
    <xf numFmtId="195" fontId="26" fillId="0" borderId="29" xfId="0" applyNumberFormat="1" applyFont="1" applyFill="1" applyBorder="1" applyAlignment="1">
      <alignment horizontal="center"/>
    </xf>
    <xf numFmtId="195" fontId="27" fillId="0" borderId="26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/>
    </xf>
    <xf numFmtId="195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3" fontId="26" fillId="0" borderId="0" xfId="36" applyFont="1" applyFill="1" applyBorder="1" applyAlignment="1">
      <alignment horizontal="center"/>
    </xf>
    <xf numFmtId="43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43" fontId="26" fillId="0" borderId="25" xfId="0" applyNumberFormat="1" applyFont="1" applyFill="1" applyBorder="1" applyAlignment="1">
      <alignment horizontal="center"/>
    </xf>
    <xf numFmtId="43" fontId="27" fillId="0" borderId="2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43" fontId="10" fillId="0" borderId="11" xfId="36" applyFont="1" applyFill="1" applyBorder="1" applyAlignment="1">
      <alignment/>
    </xf>
    <xf numFmtId="0" fontId="99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3" fontId="21" fillId="0" borderId="18" xfId="36" applyFont="1" applyFill="1" applyBorder="1" applyAlignment="1">
      <alignment/>
    </xf>
    <xf numFmtId="43" fontId="21" fillId="0" borderId="18" xfId="36" applyFont="1" applyFill="1" applyBorder="1" applyAlignment="1">
      <alignment horizontal="center"/>
    </xf>
    <xf numFmtId="15" fontId="99" fillId="0" borderId="11" xfId="0" applyNumberFormat="1" applyFont="1" applyFill="1" applyBorder="1" applyAlignment="1">
      <alignment/>
    </xf>
    <xf numFmtId="0" fontId="108" fillId="0" borderId="11" xfId="0" applyFont="1" applyBorder="1" applyAlignment="1">
      <alignment/>
    </xf>
    <xf numFmtId="195" fontId="8" fillId="0" borderId="26" xfId="0" applyNumberFormat="1" applyFont="1" applyFill="1" applyBorder="1" applyAlignment="1">
      <alignment/>
    </xf>
    <xf numFmtId="195" fontId="8" fillId="0" borderId="27" xfId="0" applyNumberFormat="1" applyFont="1" applyFill="1" applyBorder="1" applyAlignment="1">
      <alignment/>
    </xf>
    <xf numFmtId="195" fontId="8" fillId="0" borderId="26" xfId="0" applyNumberFormat="1" applyFont="1" applyFill="1" applyBorder="1" applyAlignment="1">
      <alignment/>
    </xf>
    <xf numFmtId="195" fontId="8" fillId="0" borderId="26" xfId="0" applyNumberFormat="1" applyFont="1" applyFill="1" applyBorder="1" applyAlignment="1">
      <alignment horizontal="left"/>
    </xf>
    <xf numFmtId="43" fontId="26" fillId="0" borderId="25" xfId="36" applyFont="1" applyFill="1" applyBorder="1" applyAlignment="1">
      <alignment/>
    </xf>
    <xf numFmtId="0" fontId="26" fillId="0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43" fontId="27" fillId="0" borderId="25" xfId="36" applyFont="1" applyFill="1" applyBorder="1" applyAlignment="1">
      <alignment horizontal="right"/>
    </xf>
    <xf numFmtId="43" fontId="27" fillId="0" borderId="25" xfId="0" applyNumberFormat="1" applyFont="1" applyFill="1" applyBorder="1" applyAlignment="1">
      <alignment horizontal="center"/>
    </xf>
    <xf numFmtId="0" fontId="96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09" fillId="0" borderId="30" xfId="0" applyFont="1" applyBorder="1" applyAlignment="1">
      <alignment horizontal="center" vertical="center" wrapText="1"/>
    </xf>
    <xf numFmtId="0" fontId="106" fillId="0" borderId="17" xfId="0" applyFont="1" applyFill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99" fillId="33" borderId="0" xfId="0" applyFont="1" applyFill="1" applyAlignment="1">
      <alignment horizontal="center"/>
    </xf>
    <xf numFmtId="0" fontId="10" fillId="0" borderId="25" xfId="0" applyFont="1" applyBorder="1" applyAlignment="1">
      <alignment/>
    </xf>
    <xf numFmtId="43" fontId="10" fillId="0" borderId="25" xfId="36" applyFont="1" applyBorder="1" applyAlignment="1">
      <alignment/>
    </xf>
    <xf numFmtId="0" fontId="9" fillId="0" borderId="2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43" fontId="9" fillId="0" borderId="18" xfId="0" applyNumberFormat="1" applyFont="1" applyBorder="1" applyAlignment="1">
      <alignment/>
    </xf>
    <xf numFmtId="43" fontId="9" fillId="0" borderId="27" xfId="36" applyFont="1" applyBorder="1" applyAlignment="1">
      <alignment/>
    </xf>
    <xf numFmtId="0" fontId="96" fillId="0" borderId="11" xfId="0" applyFont="1" applyFill="1" applyBorder="1" applyAlignment="1">
      <alignment/>
    </xf>
    <xf numFmtId="0" fontId="96" fillId="0" borderId="11" xfId="0" applyFont="1" applyBorder="1" applyAlignment="1">
      <alignment horizontal="center"/>
    </xf>
    <xf numFmtId="0" fontId="96" fillId="0" borderId="30" xfId="0" applyFont="1" applyBorder="1" applyAlignment="1">
      <alignment/>
    </xf>
    <xf numFmtId="0" fontId="96" fillId="0" borderId="15" xfId="0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23" xfId="0" applyFont="1" applyBorder="1" applyAlignment="1">
      <alignment/>
    </xf>
    <xf numFmtId="43" fontId="96" fillId="0" borderId="30" xfId="36" applyFont="1" applyBorder="1" applyAlignment="1">
      <alignment/>
    </xf>
    <xf numFmtId="0" fontId="97" fillId="0" borderId="30" xfId="0" applyFont="1" applyBorder="1" applyAlignment="1">
      <alignment horizontal="right"/>
    </xf>
    <xf numFmtId="0" fontId="97" fillId="0" borderId="10" xfId="0" applyFont="1" applyBorder="1" applyAlignment="1">
      <alignment horizontal="right"/>
    </xf>
    <xf numFmtId="0" fontId="96" fillId="0" borderId="27" xfId="0" applyFont="1" applyBorder="1" applyAlignment="1">
      <alignment/>
    </xf>
    <xf numFmtId="0" fontId="96" fillId="0" borderId="29" xfId="0" applyFont="1" applyBorder="1" applyAlignment="1">
      <alignment/>
    </xf>
    <xf numFmtId="0" fontId="96" fillId="0" borderId="24" xfId="0" applyFont="1" applyBorder="1" applyAlignment="1">
      <alignment/>
    </xf>
    <xf numFmtId="0" fontId="97" fillId="0" borderId="0" xfId="0" applyFont="1" applyAlignment="1">
      <alignment horizontal="right"/>
    </xf>
    <xf numFmtId="0" fontId="97" fillId="0" borderId="0" xfId="0" applyFont="1" applyAlignment="1">
      <alignment horizontal="left"/>
    </xf>
    <xf numFmtId="43" fontId="96" fillId="0" borderId="24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96" fillId="0" borderId="23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0" xfId="0" applyFont="1" applyBorder="1" applyAlignment="1">
      <alignment horizontal="right" vertical="center"/>
    </xf>
    <xf numFmtId="43" fontId="97" fillId="0" borderId="11" xfId="36" applyFont="1" applyBorder="1" applyAlignment="1">
      <alignment horizontal="center"/>
    </xf>
    <xf numFmtId="43" fontId="96" fillId="0" borderId="25" xfId="36" applyFont="1" applyBorder="1" applyAlignment="1">
      <alignment/>
    </xf>
    <xf numFmtId="43" fontId="96" fillId="0" borderId="26" xfId="36" applyFont="1" applyBorder="1" applyAlignment="1">
      <alignment/>
    </xf>
    <xf numFmtId="43" fontId="96" fillId="0" borderId="27" xfId="36" applyFont="1" applyBorder="1" applyAlignment="1">
      <alignment/>
    </xf>
    <xf numFmtId="43" fontId="96" fillId="0" borderId="29" xfId="36" applyFont="1" applyBorder="1" applyAlignment="1">
      <alignment/>
    </xf>
    <xf numFmtId="43" fontId="96" fillId="0" borderId="28" xfId="36" applyFont="1" applyBorder="1" applyAlignment="1">
      <alignment/>
    </xf>
    <xf numFmtId="43" fontId="27" fillId="0" borderId="26" xfId="36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192" fontId="8" fillId="0" borderId="17" xfId="36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192" fontId="8" fillId="0" borderId="18" xfId="36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92" fontId="8" fillId="0" borderId="21" xfId="36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/>
    </xf>
    <xf numFmtId="43" fontId="6" fillId="0" borderId="0" xfId="36" applyFont="1" applyFill="1" applyBorder="1" applyAlignment="1">
      <alignment/>
    </xf>
    <xf numFmtId="195" fontId="26" fillId="0" borderId="18" xfId="0" applyNumberFormat="1" applyFont="1" applyFill="1" applyBorder="1" applyAlignment="1">
      <alignment horizontal="right"/>
    </xf>
    <xf numFmtId="43" fontId="96" fillId="0" borderId="0" xfId="0" applyNumberFormat="1" applyFont="1" applyFill="1" applyAlignment="1">
      <alignment/>
    </xf>
    <xf numFmtId="43" fontId="9" fillId="0" borderId="11" xfId="36" applyFont="1" applyFill="1" applyBorder="1" applyAlignment="1">
      <alignment/>
    </xf>
    <xf numFmtId="0" fontId="10" fillId="0" borderId="0" xfId="0" applyFont="1" applyFill="1" applyAlignment="1">
      <alignment/>
    </xf>
    <xf numFmtId="0" fontId="100" fillId="0" borderId="11" xfId="0" applyFont="1" applyBorder="1" applyAlignment="1">
      <alignment horizontal="center"/>
    </xf>
    <xf numFmtId="0" fontId="110" fillId="0" borderId="11" xfId="0" applyFont="1" applyBorder="1" applyAlignment="1">
      <alignment/>
    </xf>
    <xf numFmtId="0" fontId="96" fillId="0" borderId="10" xfId="0" applyFont="1" applyBorder="1" applyAlignment="1">
      <alignment horizontal="center"/>
    </xf>
    <xf numFmtId="0" fontId="96" fillId="0" borderId="23" xfId="0" applyFont="1" applyBorder="1" applyAlignment="1">
      <alignment horizontal="center"/>
    </xf>
    <xf numFmtId="0" fontId="96" fillId="0" borderId="30" xfId="0" applyFont="1" applyBorder="1" applyAlignment="1">
      <alignment horizontal="center"/>
    </xf>
    <xf numFmtId="43" fontId="111" fillId="0" borderId="0" xfId="36" applyFont="1" applyAlignment="1">
      <alignment/>
    </xf>
    <xf numFmtId="195" fontId="5" fillId="0" borderId="25" xfId="0" applyNumberFormat="1" applyFont="1" applyBorder="1" applyAlignment="1">
      <alignment/>
    </xf>
    <xf numFmtId="195" fontId="6" fillId="0" borderId="26" xfId="0" applyNumberFormat="1" applyFont="1" applyBorder="1" applyAlignment="1">
      <alignment/>
    </xf>
    <xf numFmtId="195" fontId="6" fillId="0" borderId="28" xfId="0" applyNumberFormat="1" applyFont="1" applyBorder="1" applyAlignment="1">
      <alignment/>
    </xf>
    <xf numFmtId="0" fontId="99" fillId="34" borderId="0" xfId="0" applyFont="1" applyFill="1" applyAlignment="1">
      <alignment/>
    </xf>
    <xf numFmtId="43" fontId="112" fillId="0" borderId="0" xfId="36" applyFont="1" applyAlignment="1">
      <alignment/>
    </xf>
    <xf numFmtId="195" fontId="5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5" fontId="99" fillId="0" borderId="0" xfId="0" applyNumberFormat="1" applyFont="1" applyAlignment="1">
      <alignment/>
    </xf>
    <xf numFmtId="43" fontId="99" fillId="34" borderId="0" xfId="36" applyFont="1" applyFill="1" applyAlignment="1">
      <alignment/>
    </xf>
    <xf numFmtId="43" fontId="6" fillId="0" borderId="0" xfId="36" applyFont="1" applyAlignment="1">
      <alignment/>
    </xf>
    <xf numFmtId="43" fontId="112" fillId="34" borderId="0" xfId="36" applyFont="1" applyFill="1" applyAlignment="1">
      <alignment/>
    </xf>
    <xf numFmtId="43" fontId="100" fillId="35" borderId="0" xfId="36" applyFont="1" applyFill="1" applyAlignment="1">
      <alignment/>
    </xf>
    <xf numFmtId="43" fontId="111" fillId="0" borderId="24" xfId="36" applyFont="1" applyBorder="1" applyAlignment="1">
      <alignment/>
    </xf>
    <xf numFmtId="43" fontId="107" fillId="0" borderId="17" xfId="36" applyFont="1" applyBorder="1" applyAlignment="1">
      <alignment/>
    </xf>
    <xf numFmtId="43" fontId="24" fillId="0" borderId="12" xfId="36" applyFont="1" applyFill="1" applyBorder="1" applyAlignment="1">
      <alignment horizontal="left"/>
    </xf>
    <xf numFmtId="43" fontId="9" fillId="0" borderId="11" xfId="36" applyFont="1" applyBorder="1" applyAlignment="1">
      <alignment horizontal="center"/>
    </xf>
    <xf numFmtId="43" fontId="9" fillId="0" borderId="25" xfId="36" applyFont="1" applyBorder="1" applyAlignment="1">
      <alignment horizontal="center"/>
    </xf>
    <xf numFmtId="43" fontId="10" fillId="0" borderId="26" xfId="36" applyFont="1" applyBorder="1" applyAlignment="1">
      <alignment/>
    </xf>
    <xf numFmtId="43" fontId="10" fillId="0" borderId="26" xfId="36" applyFont="1" applyFill="1" applyBorder="1" applyAlignment="1">
      <alignment/>
    </xf>
    <xf numFmtId="43" fontId="9" fillId="0" borderId="26" xfId="0" applyNumberFormat="1" applyFont="1" applyBorder="1" applyAlignment="1">
      <alignment/>
    </xf>
    <xf numFmtId="43" fontId="10" fillId="0" borderId="27" xfId="36" applyFont="1" applyFill="1" applyBorder="1" applyAlignment="1">
      <alignment/>
    </xf>
    <xf numFmtId="43" fontId="10" fillId="0" borderId="27" xfId="0" applyNumberFormat="1" applyFont="1" applyBorder="1" applyAlignment="1">
      <alignment/>
    </xf>
    <xf numFmtId="43" fontId="107" fillId="0" borderId="21" xfId="36" applyFont="1" applyBorder="1" applyAlignment="1">
      <alignment horizontal="center"/>
    </xf>
    <xf numFmtId="0" fontId="96" fillId="0" borderId="17" xfId="0" applyFont="1" applyBorder="1" applyAlignment="1">
      <alignment horizontal="center"/>
    </xf>
    <xf numFmtId="0" fontId="96" fillId="0" borderId="18" xfId="0" applyFont="1" applyBorder="1" applyAlignment="1">
      <alignment horizontal="center"/>
    </xf>
    <xf numFmtId="43" fontId="96" fillId="0" borderId="23" xfId="0" applyNumberFormat="1" applyFont="1" applyBorder="1" applyAlignment="1">
      <alignment/>
    </xf>
    <xf numFmtId="0" fontId="96" fillId="0" borderId="16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6" fillId="0" borderId="15" xfId="0" applyFont="1" applyBorder="1" applyAlignment="1">
      <alignment horizontal="center"/>
    </xf>
    <xf numFmtId="43" fontId="10" fillId="0" borderId="17" xfId="36" applyNumberFormat="1" applyFont="1" applyBorder="1" applyAlignment="1">
      <alignment/>
    </xf>
    <xf numFmtId="0" fontId="96" fillId="0" borderId="26" xfId="0" applyFont="1" applyFill="1" applyBorder="1" applyAlignment="1">
      <alignment/>
    </xf>
    <xf numFmtId="43" fontId="5" fillId="0" borderId="0" xfId="36" applyFont="1" applyAlignment="1">
      <alignment/>
    </xf>
    <xf numFmtId="43" fontId="6" fillId="0" borderId="15" xfId="36" applyFont="1" applyBorder="1" applyAlignment="1">
      <alignment/>
    </xf>
    <xf numFmtId="43" fontId="6" fillId="0" borderId="15" xfId="38" applyFont="1" applyBorder="1" applyAlignment="1">
      <alignment horizontal="center"/>
    </xf>
    <xf numFmtId="43" fontId="5" fillId="0" borderId="24" xfId="38" applyFont="1" applyBorder="1" applyAlignment="1">
      <alignment/>
    </xf>
    <xf numFmtId="43" fontId="6" fillId="0" borderId="0" xfId="36" applyFont="1" applyAlignment="1">
      <alignment/>
    </xf>
    <xf numFmtId="43" fontId="6" fillId="0" borderId="0" xfId="36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5" fillId="0" borderId="24" xfId="36" applyFont="1" applyBorder="1" applyAlignment="1">
      <alignment/>
    </xf>
    <xf numFmtId="0" fontId="99" fillId="0" borderId="23" xfId="0" applyFont="1" applyBorder="1" applyAlignment="1">
      <alignment/>
    </xf>
    <xf numFmtId="0" fontId="99" fillId="0" borderId="15" xfId="0" applyFont="1" applyBorder="1" applyAlignment="1">
      <alignment/>
    </xf>
    <xf numFmtId="43" fontId="100" fillId="0" borderId="24" xfId="0" applyNumberFormat="1" applyFont="1" applyFill="1" applyBorder="1" applyAlignment="1">
      <alignment/>
    </xf>
    <xf numFmtId="43" fontId="100" fillId="0" borderId="19" xfId="36" applyFont="1" applyBorder="1" applyAlignment="1">
      <alignment/>
    </xf>
    <xf numFmtId="43" fontId="100" fillId="0" borderId="23" xfId="0" applyNumberFormat="1" applyFont="1" applyBorder="1" applyAlignment="1">
      <alignment/>
    </xf>
    <xf numFmtId="43" fontId="100" fillId="0" borderId="24" xfId="0" applyNumberFormat="1" applyFont="1" applyBorder="1" applyAlignment="1">
      <alignment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0" fillId="0" borderId="0" xfId="0" applyFont="1" applyFill="1" applyAlignment="1">
      <alignment horizontal="center"/>
    </xf>
    <xf numFmtId="0" fontId="107" fillId="0" borderId="0" xfId="0" applyFont="1" applyFill="1" applyAlignment="1">
      <alignment/>
    </xf>
    <xf numFmtId="43" fontId="106" fillId="0" borderId="0" xfId="36" applyFont="1" applyFill="1" applyAlignment="1">
      <alignment/>
    </xf>
    <xf numFmtId="0" fontId="107" fillId="0" borderId="18" xfId="0" applyFont="1" applyFill="1" applyBorder="1" applyAlignment="1">
      <alignment horizontal="center"/>
    </xf>
    <xf numFmtId="0" fontId="107" fillId="0" borderId="16" xfId="0" applyFont="1" applyFill="1" applyBorder="1" applyAlignment="1">
      <alignment/>
    </xf>
    <xf numFmtId="49" fontId="106" fillId="0" borderId="11" xfId="36" applyNumberFormat="1" applyFont="1" applyFill="1" applyBorder="1" applyAlignment="1">
      <alignment horizontal="center"/>
    </xf>
    <xf numFmtId="0" fontId="106" fillId="0" borderId="16" xfId="0" applyFont="1" applyFill="1" applyBorder="1" applyAlignment="1">
      <alignment/>
    </xf>
    <xf numFmtId="0" fontId="107" fillId="0" borderId="12" xfId="0" applyFont="1" applyFill="1" applyBorder="1" applyAlignment="1">
      <alignment/>
    </xf>
    <xf numFmtId="43" fontId="107" fillId="0" borderId="12" xfId="36" applyFont="1" applyFill="1" applyBorder="1" applyAlignment="1">
      <alignment/>
    </xf>
    <xf numFmtId="0" fontId="97" fillId="0" borderId="10" xfId="0" applyFont="1" applyFill="1" applyBorder="1" applyAlignment="1">
      <alignment/>
    </xf>
    <xf numFmtId="0" fontId="97" fillId="0" borderId="30" xfId="0" applyFont="1" applyFill="1" applyBorder="1" applyAlignment="1">
      <alignment/>
    </xf>
    <xf numFmtId="0" fontId="97" fillId="0" borderId="11" xfId="0" applyFont="1" applyFill="1" applyBorder="1" applyAlignment="1">
      <alignment horizontal="center"/>
    </xf>
    <xf numFmtId="0" fontId="97" fillId="0" borderId="0" xfId="0" applyFont="1" applyFill="1" applyAlignment="1">
      <alignment/>
    </xf>
    <xf numFmtId="0" fontId="96" fillId="0" borderId="11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right"/>
    </xf>
    <xf numFmtId="0" fontId="96" fillId="0" borderId="0" xfId="0" applyFont="1" applyFill="1" applyBorder="1" applyAlignment="1">
      <alignment horizontal="center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right"/>
    </xf>
    <xf numFmtId="43" fontId="96" fillId="0" borderId="24" xfId="36" applyFont="1" applyFill="1" applyBorder="1" applyAlignment="1">
      <alignment/>
    </xf>
    <xf numFmtId="43" fontId="96" fillId="0" borderId="24" xfId="0" applyNumberFormat="1" applyFont="1" applyFill="1" applyBorder="1" applyAlignment="1">
      <alignment/>
    </xf>
    <xf numFmtId="0" fontId="96" fillId="0" borderId="24" xfId="0" applyFont="1" applyFill="1" applyBorder="1" applyAlignment="1">
      <alignment/>
    </xf>
    <xf numFmtId="0" fontId="96" fillId="0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6" fillId="0" borderId="26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/>
    </xf>
    <xf numFmtId="0" fontId="9" fillId="0" borderId="0" xfId="0" applyFont="1" applyFill="1" applyAlignment="1">
      <alignment horizontal="left" vertical="justify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43" fontId="10" fillId="0" borderId="11" xfId="36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43" fontId="9" fillId="0" borderId="11" xfId="36" applyFont="1" applyFill="1" applyBorder="1" applyAlignment="1">
      <alignment horizontal="center"/>
    </xf>
    <xf numFmtId="43" fontId="9" fillId="0" borderId="11" xfId="0" applyNumberFormat="1" applyFont="1" applyFill="1" applyBorder="1" applyAlignment="1">
      <alignment/>
    </xf>
    <xf numFmtId="43" fontId="99" fillId="0" borderId="11" xfId="36" applyFont="1" applyFill="1" applyBorder="1" applyAlignment="1">
      <alignment/>
    </xf>
    <xf numFmtId="15" fontId="99" fillId="0" borderId="11" xfId="0" applyNumberFormat="1" applyFont="1" applyFill="1" applyBorder="1" applyAlignment="1">
      <alignment horizontal="center"/>
    </xf>
    <xf numFmtId="0" fontId="99" fillId="0" borderId="11" xfId="0" applyFont="1" applyFill="1" applyBorder="1" applyAlignment="1">
      <alignment/>
    </xf>
    <xf numFmtId="0" fontId="108" fillId="0" borderId="11" xfId="0" applyFont="1" applyFill="1" applyBorder="1" applyAlignment="1">
      <alignment/>
    </xf>
    <xf numFmtId="43" fontId="100" fillId="0" borderId="11" xfId="36" applyFont="1" applyFill="1" applyBorder="1" applyAlignment="1">
      <alignment/>
    </xf>
    <xf numFmtId="43" fontId="96" fillId="0" borderId="0" xfId="36" applyNumberFormat="1" applyFont="1" applyFill="1" applyAlignment="1">
      <alignment/>
    </xf>
    <xf numFmtId="0" fontId="100" fillId="0" borderId="11" xfId="0" applyFont="1" applyFill="1" applyBorder="1" applyAlignment="1">
      <alignment/>
    </xf>
    <xf numFmtId="43" fontId="15" fillId="0" borderId="0" xfId="0" applyNumberFormat="1" applyFont="1" applyFill="1" applyAlignment="1">
      <alignment/>
    </xf>
    <xf numFmtId="0" fontId="15" fillId="0" borderId="11" xfId="0" applyFont="1" applyFill="1" applyBorder="1" applyAlignment="1">
      <alignment horizontal="center"/>
    </xf>
    <xf numFmtId="43" fontId="15" fillId="0" borderId="30" xfId="0" applyNumberFormat="1" applyFont="1" applyFill="1" applyBorder="1" applyAlignment="1">
      <alignment/>
    </xf>
    <xf numFmtId="43" fontId="15" fillId="0" borderId="11" xfId="36" applyFont="1" applyFill="1" applyBorder="1" applyAlignment="1">
      <alignment/>
    </xf>
    <xf numFmtId="43" fontId="94" fillId="0" borderId="0" xfId="0" applyNumberFormat="1" applyFont="1" applyFill="1" applyAlignment="1">
      <alignment/>
    </xf>
    <xf numFmtId="0" fontId="18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43" fontId="15" fillId="0" borderId="11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22" xfId="0" applyFont="1" applyFill="1" applyBorder="1" applyAlignment="1">
      <alignment horizontal="center"/>
    </xf>
    <xf numFmtId="43" fontId="20" fillId="0" borderId="22" xfId="36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36" applyFont="1" applyFill="1" applyBorder="1" applyAlignment="1">
      <alignment horizontal="center"/>
    </xf>
    <xf numFmtId="43" fontId="21" fillId="0" borderId="22" xfId="36" applyFont="1" applyFill="1" applyBorder="1" applyAlignment="1">
      <alignment horizontal="center"/>
    </xf>
    <xf numFmtId="43" fontId="21" fillId="0" borderId="15" xfId="36" applyFont="1" applyFill="1" applyBorder="1" applyAlignment="1">
      <alignment horizontal="center"/>
    </xf>
    <xf numFmtId="43" fontId="20" fillId="0" borderId="16" xfId="36" applyFont="1" applyFill="1" applyBorder="1" applyAlignment="1">
      <alignment horizontal="center"/>
    </xf>
    <xf numFmtId="43" fontId="20" fillId="0" borderId="32" xfId="36" applyFont="1" applyFill="1" applyBorder="1" applyAlignment="1">
      <alignment horizontal="center"/>
    </xf>
    <xf numFmtId="43" fontId="27" fillId="0" borderId="27" xfId="36" applyFont="1" applyFill="1" applyBorder="1" applyAlignment="1">
      <alignment/>
    </xf>
    <xf numFmtId="195" fontId="27" fillId="0" borderId="11" xfId="0" applyNumberFormat="1" applyFont="1" applyFill="1" applyBorder="1" applyAlignment="1">
      <alignment/>
    </xf>
    <xf numFmtId="195" fontId="27" fillId="0" borderId="29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43" fontId="21" fillId="0" borderId="0" xfId="36" applyFont="1" applyFill="1" applyAlignment="1">
      <alignment/>
    </xf>
    <xf numFmtId="43" fontId="21" fillId="0" borderId="10" xfId="36" applyFont="1" applyFill="1" applyBorder="1" applyAlignment="1">
      <alignment/>
    </xf>
    <xf numFmtId="0" fontId="26" fillId="0" borderId="16" xfId="0" applyFont="1" applyFill="1" applyBorder="1" applyAlignment="1">
      <alignment horizontal="center"/>
    </xf>
    <xf numFmtId="43" fontId="26" fillId="0" borderId="16" xfId="36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43" fontId="26" fillId="0" borderId="18" xfId="36" applyFont="1" applyFill="1" applyBorder="1" applyAlignment="1">
      <alignment horizontal="center"/>
    </xf>
    <xf numFmtId="195" fontId="26" fillId="0" borderId="25" xfId="0" applyNumberFormat="1" applyFont="1" applyFill="1" applyBorder="1" applyAlignment="1">
      <alignment horizontal="left"/>
    </xf>
    <xf numFmtId="195" fontId="26" fillId="0" borderId="25" xfId="0" applyNumberFormat="1" applyFont="1" applyFill="1" applyBorder="1" applyAlignment="1">
      <alignment/>
    </xf>
    <xf numFmtId="195" fontId="27" fillId="0" borderId="26" xfId="0" applyNumberFormat="1" applyFont="1" applyFill="1" applyBorder="1" applyAlignment="1">
      <alignment horizontal="left"/>
    </xf>
    <xf numFmtId="0" fontId="27" fillId="0" borderId="27" xfId="0" applyFont="1" applyFill="1" applyBorder="1" applyAlignment="1">
      <alignment/>
    </xf>
    <xf numFmtId="43" fontId="26" fillId="0" borderId="11" xfId="36" applyFont="1" applyFill="1" applyBorder="1" applyAlignment="1">
      <alignment/>
    </xf>
    <xf numFmtId="195" fontId="26" fillId="0" borderId="11" xfId="0" applyNumberFormat="1" applyFont="1" applyFill="1" applyBorder="1" applyAlignment="1">
      <alignment/>
    </xf>
    <xf numFmtId="195" fontId="26" fillId="0" borderId="25" xfId="0" applyNumberFormat="1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26" xfId="0" applyFont="1" applyFill="1" applyBorder="1" applyAlignment="1">
      <alignment horizontal="left"/>
    </xf>
    <xf numFmtId="0" fontId="27" fillId="0" borderId="26" xfId="0" applyFont="1" applyFill="1" applyBorder="1" applyAlignment="1" quotePrefix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7" xfId="0" applyFont="1" applyFill="1" applyBorder="1" applyAlignment="1" quotePrefix="1">
      <alignment horizontal="center"/>
    </xf>
    <xf numFmtId="195" fontId="27" fillId="0" borderId="18" xfId="0" applyNumberFormat="1" applyFont="1" applyFill="1" applyBorder="1" applyAlignment="1">
      <alignment horizontal="right"/>
    </xf>
    <xf numFmtId="43" fontId="26" fillId="0" borderId="18" xfId="36" applyFont="1" applyFill="1" applyBorder="1" applyAlignment="1">
      <alignment/>
    </xf>
    <xf numFmtId="195" fontId="26" fillId="0" borderId="18" xfId="0" applyNumberFormat="1" applyFont="1" applyFill="1" applyBorder="1" applyAlignment="1">
      <alignment/>
    </xf>
    <xf numFmtId="0" fontId="27" fillId="0" borderId="25" xfId="0" applyFont="1" applyFill="1" applyBorder="1" applyAlignment="1">
      <alignment horizontal="center"/>
    </xf>
    <xf numFmtId="0" fontId="27" fillId="0" borderId="28" xfId="0" applyFont="1" applyFill="1" applyBorder="1" applyAlignment="1" quotePrefix="1">
      <alignment horizontal="center"/>
    </xf>
    <xf numFmtId="0" fontId="27" fillId="0" borderId="28" xfId="0" applyFont="1" applyFill="1" applyBorder="1" applyAlignment="1">
      <alignment/>
    </xf>
    <xf numFmtId="43" fontId="27" fillId="0" borderId="28" xfId="36" applyFont="1" applyFill="1" applyBorder="1" applyAlignment="1">
      <alignment/>
    </xf>
    <xf numFmtId="195" fontId="27" fillId="0" borderId="11" xfId="0" applyNumberFormat="1" applyFont="1" applyFill="1" applyBorder="1" applyAlignment="1">
      <alignment horizontal="right"/>
    </xf>
    <xf numFmtId="43" fontId="27" fillId="0" borderId="11" xfId="36" applyFont="1" applyFill="1" applyBorder="1" applyAlignment="1">
      <alignment/>
    </xf>
    <xf numFmtId="0" fontId="27" fillId="0" borderId="25" xfId="0" applyFont="1" applyFill="1" applyBorder="1" applyAlignment="1" quotePrefix="1">
      <alignment horizontal="center"/>
    </xf>
    <xf numFmtId="195" fontId="27" fillId="0" borderId="29" xfId="0" applyNumberFormat="1" applyFont="1" applyFill="1" applyBorder="1" applyAlignment="1">
      <alignment horizontal="center"/>
    </xf>
    <xf numFmtId="0" fontId="27" fillId="0" borderId="29" xfId="0" applyFont="1" applyFill="1" applyBorder="1" applyAlignment="1">
      <alignment horizontal="left"/>
    </xf>
    <xf numFmtId="195" fontId="27" fillId="0" borderId="17" xfId="0" applyNumberFormat="1" applyFont="1" applyFill="1" applyBorder="1" applyAlignment="1">
      <alignment horizontal="center"/>
    </xf>
    <xf numFmtId="43" fontId="27" fillId="0" borderId="28" xfId="36" applyFont="1" applyFill="1" applyBorder="1" applyAlignment="1">
      <alignment horizontal="center"/>
    </xf>
    <xf numFmtId="43" fontId="27" fillId="0" borderId="28" xfId="36" applyFont="1" applyFill="1" applyBorder="1" applyAlignment="1">
      <alignment horizontal="left"/>
    </xf>
    <xf numFmtId="43" fontId="27" fillId="0" borderId="11" xfId="36" applyFont="1" applyFill="1" applyBorder="1" applyAlignment="1">
      <alignment horizontal="right"/>
    </xf>
    <xf numFmtId="43" fontId="27" fillId="0" borderId="11" xfId="36" applyFont="1" applyFill="1" applyBorder="1" applyAlignment="1">
      <alignment horizontal="center"/>
    </xf>
    <xf numFmtId="43" fontId="27" fillId="0" borderId="29" xfId="36" applyFont="1" applyFill="1" applyBorder="1" applyAlignment="1">
      <alignment horizontal="center"/>
    </xf>
    <xf numFmtId="195" fontId="27" fillId="0" borderId="28" xfId="0" applyNumberFormat="1" applyFont="1" applyFill="1" applyBorder="1" applyAlignment="1">
      <alignment horizontal="center"/>
    </xf>
    <xf numFmtId="195" fontId="27" fillId="0" borderId="28" xfId="0" applyNumberFormat="1" applyFont="1" applyFill="1" applyBorder="1" applyAlignment="1">
      <alignment horizontal="left"/>
    </xf>
    <xf numFmtId="195" fontId="27" fillId="0" borderId="11" xfId="0" applyNumberFormat="1" applyFont="1" applyFill="1" applyBorder="1" applyAlignment="1">
      <alignment horizontal="center"/>
    </xf>
    <xf numFmtId="43" fontId="27" fillId="0" borderId="17" xfId="36" applyFont="1" applyFill="1" applyBorder="1" applyAlignment="1">
      <alignment/>
    </xf>
    <xf numFmtId="43" fontId="27" fillId="0" borderId="16" xfId="36" applyFont="1" applyFill="1" applyBorder="1" applyAlignment="1">
      <alignment/>
    </xf>
    <xf numFmtId="195" fontId="27" fillId="0" borderId="25" xfId="0" applyNumberFormat="1" applyFont="1" applyFill="1" applyBorder="1" applyAlignment="1">
      <alignment horizontal="left"/>
    </xf>
    <xf numFmtId="43" fontId="27" fillId="0" borderId="27" xfId="36" applyFont="1" applyFill="1" applyBorder="1" applyAlignment="1">
      <alignment horizontal="right"/>
    </xf>
    <xf numFmtId="43" fontId="26" fillId="0" borderId="28" xfId="36" applyFont="1" applyFill="1" applyBorder="1" applyAlignment="1">
      <alignment/>
    </xf>
    <xf numFmtId="195" fontId="26" fillId="0" borderId="29" xfId="0" applyNumberFormat="1" applyFont="1" applyFill="1" applyBorder="1" applyAlignment="1">
      <alignment/>
    </xf>
    <xf numFmtId="195" fontId="27" fillId="0" borderId="27" xfId="0" applyNumberFormat="1" applyFont="1" applyFill="1" applyBorder="1" applyAlignment="1">
      <alignment/>
    </xf>
    <xf numFmtId="195" fontId="27" fillId="0" borderId="27" xfId="0" applyNumberFormat="1" applyFont="1" applyFill="1" applyBorder="1" applyAlignment="1">
      <alignment horizontal="left"/>
    </xf>
    <xf numFmtId="0" fontId="27" fillId="0" borderId="26" xfId="0" applyFont="1" applyFill="1" applyBorder="1" applyAlignment="1" quotePrefix="1">
      <alignment horizontal="left"/>
    </xf>
    <xf numFmtId="0" fontId="26" fillId="0" borderId="26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43" fontId="27" fillId="0" borderId="11" xfId="0" applyNumberFormat="1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195" fontId="27" fillId="0" borderId="25" xfId="0" applyNumberFormat="1" applyFont="1" applyFill="1" applyBorder="1" applyAlignment="1">
      <alignment/>
    </xf>
    <xf numFmtId="195" fontId="26" fillId="0" borderId="29" xfId="0" applyNumberFormat="1" applyFont="1" applyFill="1" applyBorder="1" applyAlignment="1">
      <alignment horizontal="left"/>
    </xf>
    <xf numFmtId="0" fontId="26" fillId="0" borderId="29" xfId="0" applyFont="1" applyFill="1" applyBorder="1" applyAlignment="1">
      <alignment/>
    </xf>
    <xf numFmtId="0" fontId="27" fillId="0" borderId="25" xfId="0" applyFont="1" applyFill="1" applyBorder="1" applyAlignment="1">
      <alignment horizontal="left"/>
    </xf>
    <xf numFmtId="43" fontId="26" fillId="0" borderId="25" xfId="36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43" fontId="26" fillId="0" borderId="11" xfId="36" applyFont="1" applyFill="1" applyBorder="1" applyAlignment="1">
      <alignment horizontal="center"/>
    </xf>
    <xf numFmtId="195" fontId="26" fillId="0" borderId="11" xfId="0" applyNumberFormat="1" applyFont="1" applyFill="1" applyBorder="1" applyAlignment="1">
      <alignment horizontal="center"/>
    </xf>
    <xf numFmtId="43" fontId="27" fillId="0" borderId="29" xfId="36" applyFont="1" applyFill="1" applyBorder="1" applyAlignment="1">
      <alignment horizontal="right"/>
    </xf>
    <xf numFmtId="43" fontId="27" fillId="0" borderId="29" xfId="36" applyFont="1" applyFill="1" applyBorder="1" applyAlignment="1">
      <alignment/>
    </xf>
    <xf numFmtId="43" fontId="27" fillId="0" borderId="28" xfId="36" applyFont="1" applyFill="1" applyBorder="1" applyAlignment="1">
      <alignment horizontal="right"/>
    </xf>
    <xf numFmtId="43" fontId="27" fillId="0" borderId="28" xfId="36" applyFont="1" applyFill="1" applyBorder="1" applyAlignment="1">
      <alignment/>
    </xf>
    <xf numFmtId="43" fontId="27" fillId="0" borderId="26" xfId="36" applyFont="1" applyFill="1" applyBorder="1" applyAlignment="1">
      <alignment horizontal="center"/>
    </xf>
    <xf numFmtId="43" fontId="27" fillId="0" borderId="26" xfId="0" applyNumberFormat="1" applyFont="1" applyFill="1" applyBorder="1" applyAlignment="1">
      <alignment horizontal="center"/>
    </xf>
    <xf numFmtId="195" fontId="27" fillId="0" borderId="29" xfId="0" applyNumberFormat="1" applyFont="1" applyFill="1" applyBorder="1" applyAlignment="1">
      <alignment/>
    </xf>
    <xf numFmtId="195" fontId="27" fillId="0" borderId="28" xfId="0" applyNumberFormat="1" applyFont="1" applyFill="1" applyBorder="1" applyAlignment="1">
      <alignment horizontal="right"/>
    </xf>
    <xf numFmtId="43" fontId="26" fillId="0" borderId="11" xfId="0" applyNumberFormat="1" applyFont="1" applyFill="1" applyBorder="1" applyAlignment="1">
      <alignment horizontal="center"/>
    </xf>
    <xf numFmtId="43" fontId="26" fillId="0" borderId="26" xfId="0" applyNumberFormat="1" applyFont="1" applyFill="1" applyBorder="1" applyAlignment="1">
      <alignment horizontal="center"/>
    </xf>
    <xf numFmtId="195" fontId="26" fillId="0" borderId="28" xfId="0" applyNumberFormat="1" applyFont="1" applyFill="1" applyBorder="1" applyAlignment="1">
      <alignment horizontal="right"/>
    </xf>
    <xf numFmtId="195" fontId="26" fillId="0" borderId="26" xfId="0" applyNumberFormat="1" applyFont="1" applyFill="1" applyBorder="1" applyAlignment="1">
      <alignment horizontal="right"/>
    </xf>
    <xf numFmtId="43" fontId="26" fillId="0" borderId="26" xfId="36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195" fontId="27" fillId="0" borderId="17" xfId="0" applyNumberFormat="1" applyFont="1" applyFill="1" applyBorder="1" applyAlignment="1">
      <alignment horizontal="left"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left"/>
    </xf>
    <xf numFmtId="43" fontId="27" fillId="0" borderId="17" xfId="36" applyFont="1" applyFill="1" applyBorder="1" applyAlignment="1">
      <alignment horizontal="center"/>
    </xf>
    <xf numFmtId="195" fontId="26" fillId="0" borderId="27" xfId="0" applyNumberFormat="1" applyFont="1" applyFill="1" applyBorder="1" applyAlignment="1">
      <alignment horizontal="right"/>
    </xf>
    <xf numFmtId="0" fontId="27" fillId="0" borderId="27" xfId="0" applyFont="1" applyFill="1" applyBorder="1" applyAlignment="1">
      <alignment horizontal="left"/>
    </xf>
    <xf numFmtId="43" fontId="27" fillId="0" borderId="27" xfId="36" applyFont="1" applyFill="1" applyBorder="1" applyAlignment="1">
      <alignment horizontal="center"/>
    </xf>
    <xf numFmtId="0" fontId="27" fillId="0" borderId="28" xfId="0" applyFont="1" applyFill="1" applyBorder="1" applyAlignment="1">
      <alignment horizontal="left"/>
    </xf>
    <xf numFmtId="0" fontId="27" fillId="0" borderId="11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3" fontId="26" fillId="0" borderId="17" xfId="36" applyFont="1" applyFill="1" applyBorder="1" applyAlignment="1">
      <alignment/>
    </xf>
    <xf numFmtId="195" fontId="26" fillId="0" borderId="34" xfId="0" applyNumberFormat="1" applyFont="1" applyFill="1" applyBorder="1" applyAlignment="1">
      <alignment horizontal="left"/>
    </xf>
    <xf numFmtId="0" fontId="26" fillId="0" borderId="26" xfId="0" applyFont="1" applyFill="1" applyBorder="1" applyAlignment="1">
      <alignment/>
    </xf>
    <xf numFmtId="43" fontId="27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195" fontId="26" fillId="0" borderId="26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195" fontId="27" fillId="0" borderId="26" xfId="0" applyNumberFormat="1" applyFont="1" applyFill="1" applyBorder="1" applyAlignment="1" quotePrefix="1">
      <alignment/>
    </xf>
    <xf numFmtId="195" fontId="27" fillId="0" borderId="27" xfId="0" applyNumberFormat="1" applyFont="1" applyFill="1" applyBorder="1" applyAlignment="1" quotePrefix="1">
      <alignment/>
    </xf>
    <xf numFmtId="43" fontId="27" fillId="0" borderId="23" xfId="36" applyFont="1" applyFill="1" applyBorder="1" applyAlignment="1">
      <alignment/>
    </xf>
    <xf numFmtId="0" fontId="27" fillId="0" borderId="23" xfId="0" applyFont="1" applyFill="1" applyBorder="1" applyAlignment="1">
      <alignment/>
    </xf>
    <xf numFmtId="43" fontId="27" fillId="0" borderId="0" xfId="0" applyNumberFormat="1" applyFont="1" applyFill="1" applyAlignment="1">
      <alignment/>
    </xf>
    <xf numFmtId="43" fontId="26" fillId="0" borderId="29" xfId="36" applyFont="1" applyFill="1" applyBorder="1" applyAlignment="1">
      <alignment horizontal="center"/>
    </xf>
    <xf numFmtId="43" fontId="26" fillId="0" borderId="0" xfId="36" applyFont="1" applyFill="1" applyAlignment="1">
      <alignment/>
    </xf>
    <xf numFmtId="43" fontId="27" fillId="0" borderId="35" xfId="36" applyFont="1" applyFill="1" applyBorder="1" applyAlignment="1">
      <alignment/>
    </xf>
    <xf numFmtId="43" fontId="27" fillId="0" borderId="36" xfId="36" applyFont="1" applyFill="1" applyBorder="1" applyAlignment="1">
      <alignment/>
    </xf>
    <xf numFmtId="43" fontId="27" fillId="0" borderId="37" xfId="36" applyFont="1" applyFill="1" applyBorder="1" applyAlignment="1">
      <alignment/>
    </xf>
    <xf numFmtId="0" fontId="26" fillId="0" borderId="0" xfId="0" applyFont="1" applyFill="1" applyAlignment="1">
      <alignment/>
    </xf>
    <xf numFmtId="43" fontId="27" fillId="0" borderId="10" xfId="36" applyFont="1" applyFill="1" applyBorder="1" applyAlignment="1">
      <alignment/>
    </xf>
    <xf numFmtId="43" fontId="27" fillId="0" borderId="38" xfId="36" applyFont="1" applyFill="1" applyBorder="1" applyAlignment="1">
      <alignment/>
    </xf>
    <xf numFmtId="43" fontId="27" fillId="0" borderId="39" xfId="36" applyFont="1" applyFill="1" applyBorder="1" applyAlignment="1">
      <alignment/>
    </xf>
    <xf numFmtId="43" fontId="27" fillId="0" borderId="0" xfId="36" applyFont="1" applyFill="1" applyBorder="1" applyAlignment="1">
      <alignment/>
    </xf>
    <xf numFmtId="43" fontId="27" fillId="0" borderId="40" xfId="36" applyFont="1" applyFill="1" applyBorder="1" applyAlignment="1">
      <alignment/>
    </xf>
    <xf numFmtId="0" fontId="29" fillId="0" borderId="26" xfId="0" applyFont="1" applyFill="1" applyBorder="1" applyAlignment="1">
      <alignment horizontal="left"/>
    </xf>
    <xf numFmtId="0" fontId="29" fillId="0" borderId="28" xfId="0" applyFont="1" applyFill="1" applyBorder="1" applyAlignment="1">
      <alignment horizontal="left"/>
    </xf>
    <xf numFmtId="195" fontId="27" fillId="0" borderId="25" xfId="0" applyNumberFormat="1" applyFont="1" applyFill="1" applyBorder="1" applyAlignment="1" quotePrefix="1">
      <alignment/>
    </xf>
    <xf numFmtId="195" fontId="27" fillId="0" borderId="28" xfId="0" applyNumberFormat="1" applyFont="1" applyFill="1" applyBorder="1" applyAlignment="1" quotePrefix="1">
      <alignment/>
    </xf>
    <xf numFmtId="195" fontId="27" fillId="0" borderId="11" xfId="0" applyNumberFormat="1" applyFont="1" applyFill="1" applyBorder="1" applyAlignment="1" quotePrefix="1">
      <alignment/>
    </xf>
    <xf numFmtId="43" fontId="97" fillId="0" borderId="0" xfId="36" applyFont="1" applyFill="1" applyAlignment="1">
      <alignment/>
    </xf>
    <xf numFmtId="0" fontId="19" fillId="0" borderId="17" xfId="0" applyFont="1" applyFill="1" applyBorder="1" applyAlignment="1">
      <alignment/>
    </xf>
    <xf numFmtId="43" fontId="96" fillId="0" borderId="17" xfId="36" applyFont="1" applyFill="1" applyBorder="1" applyAlignment="1">
      <alignment/>
    </xf>
    <xf numFmtId="0" fontId="9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1" fillId="0" borderId="0" xfId="0" applyFont="1" applyFill="1" applyAlignment="1">
      <alignment/>
    </xf>
    <xf numFmtId="0" fontId="94" fillId="0" borderId="0" xfId="0" applyFont="1" applyFill="1" applyAlignment="1">
      <alignment/>
    </xf>
    <xf numFmtId="43" fontId="7" fillId="0" borderId="18" xfId="38" applyFont="1" applyFill="1" applyBorder="1" applyAlignment="1">
      <alignment/>
    </xf>
    <xf numFmtId="0" fontId="99" fillId="0" borderId="0" xfId="0" applyFont="1" applyBorder="1" applyAlignment="1">
      <alignment/>
    </xf>
    <xf numFmtId="0" fontId="100" fillId="0" borderId="0" xfId="0" applyFont="1" applyFill="1" applyBorder="1" applyAlignment="1">
      <alignment horizontal="center"/>
    </xf>
    <xf numFmtId="43" fontId="100" fillId="0" borderId="0" xfId="36" applyFont="1" applyBorder="1" applyAlignment="1">
      <alignment/>
    </xf>
    <xf numFmtId="43" fontId="99" fillId="0" borderId="0" xfId="36" applyFont="1" applyBorder="1" applyAlignment="1">
      <alignment/>
    </xf>
    <xf numFmtId="43" fontId="100" fillId="0" borderId="0" xfId="0" applyNumberFormat="1" applyFont="1" applyFill="1" applyBorder="1" applyAlignment="1">
      <alignment/>
    </xf>
    <xf numFmtId="0" fontId="99" fillId="0" borderId="0" xfId="0" applyFont="1" applyFill="1" applyBorder="1" applyAlignment="1">
      <alignment/>
    </xf>
    <xf numFmtId="43" fontId="100" fillId="0" borderId="0" xfId="0" applyNumberFormat="1" applyFont="1" applyBorder="1" applyAlignment="1">
      <alignment/>
    </xf>
    <xf numFmtId="43" fontId="99" fillId="0" borderId="0" xfId="36" applyFont="1" applyFill="1" applyBorder="1" applyAlignment="1">
      <alignment/>
    </xf>
    <xf numFmtId="43" fontId="24" fillId="0" borderId="17" xfId="36" applyFont="1" applyFill="1" applyBorder="1" applyAlignment="1">
      <alignment horizontal="center"/>
    </xf>
    <xf numFmtId="43" fontId="107" fillId="0" borderId="11" xfId="36" applyFont="1" applyBorder="1" applyAlignment="1">
      <alignment horizontal="right"/>
    </xf>
    <xf numFmtId="43" fontId="107" fillId="0" borderId="11" xfId="36" applyFont="1" applyBorder="1" applyAlignment="1">
      <alignment horizontal="center"/>
    </xf>
    <xf numFmtId="43" fontId="96" fillId="0" borderId="0" xfId="36" applyFont="1" applyFill="1" applyBorder="1" applyAlignment="1">
      <alignment/>
    </xf>
    <xf numFmtId="43" fontId="96" fillId="0" borderId="0" xfId="0" applyNumberFormat="1" applyFont="1" applyFill="1" applyBorder="1" applyAlignment="1">
      <alignment/>
    </xf>
    <xf numFmtId="0" fontId="96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99" fillId="0" borderId="0" xfId="0" applyFont="1" applyFill="1" applyAlignment="1">
      <alignment/>
    </xf>
    <xf numFmtId="0" fontId="100" fillId="0" borderId="0" xfId="0" applyFont="1" applyAlignment="1">
      <alignment wrapText="1"/>
    </xf>
    <xf numFmtId="0" fontId="100" fillId="0" borderId="0" xfId="0" applyFont="1" applyAlignment="1">
      <alignment/>
    </xf>
    <xf numFmtId="0" fontId="97" fillId="0" borderId="0" xfId="0" applyFont="1" applyAlignment="1">
      <alignment horizontal="center"/>
    </xf>
    <xf numFmtId="0" fontId="107" fillId="0" borderId="11" xfId="0" applyFont="1" applyFill="1" applyBorder="1" applyAlignment="1">
      <alignment horizontal="center" vertical="center" wrapText="1"/>
    </xf>
    <xf numFmtId="43" fontId="107" fillId="0" borderId="13" xfId="36" applyFont="1" applyFill="1" applyBorder="1" applyAlignment="1">
      <alignment horizontal="center" vertical="center" wrapText="1"/>
    </xf>
    <xf numFmtId="43" fontId="107" fillId="0" borderId="41" xfId="36" applyFont="1" applyFill="1" applyBorder="1" applyAlignment="1">
      <alignment horizontal="center" vertical="center" wrapText="1"/>
    </xf>
    <xf numFmtId="43" fontId="107" fillId="0" borderId="31" xfId="36" applyFont="1" applyFill="1" applyBorder="1" applyAlignment="1">
      <alignment horizontal="center" vertical="center" wrapText="1"/>
    </xf>
    <xf numFmtId="43" fontId="107" fillId="0" borderId="32" xfId="36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3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6" fillId="0" borderId="11" xfId="0" applyFont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0" fontId="96" fillId="0" borderId="30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left"/>
    </xf>
    <xf numFmtId="0" fontId="96" fillId="0" borderId="30" xfId="0" applyFont="1" applyFill="1" applyBorder="1" applyAlignment="1">
      <alignment horizontal="left"/>
    </xf>
    <xf numFmtId="0" fontId="96" fillId="0" borderId="42" xfId="0" applyFont="1" applyFill="1" applyBorder="1" applyAlignment="1">
      <alignment horizontal="left"/>
    </xf>
    <xf numFmtId="0" fontId="96" fillId="0" borderId="33" xfId="0" applyFont="1" applyFill="1" applyBorder="1" applyAlignment="1">
      <alignment horizontal="left"/>
    </xf>
    <xf numFmtId="0" fontId="96" fillId="0" borderId="43" xfId="0" applyFont="1" applyFill="1" applyBorder="1" applyAlignment="1">
      <alignment horizontal="left"/>
    </xf>
    <xf numFmtId="0" fontId="96" fillId="0" borderId="27" xfId="0" applyFont="1" applyFill="1" applyBorder="1" applyAlignment="1">
      <alignment horizontal="center"/>
    </xf>
    <xf numFmtId="0" fontId="96" fillId="0" borderId="25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right"/>
    </xf>
    <xf numFmtId="0" fontId="96" fillId="0" borderId="23" xfId="0" applyFont="1" applyFill="1" applyBorder="1" applyAlignment="1">
      <alignment horizontal="right"/>
    </xf>
    <xf numFmtId="0" fontId="96" fillId="0" borderId="30" xfId="0" applyFont="1" applyFill="1" applyBorder="1" applyAlignment="1">
      <alignment horizontal="right"/>
    </xf>
    <xf numFmtId="0" fontId="96" fillId="0" borderId="22" xfId="0" applyFont="1" applyFill="1" applyBorder="1" applyAlignment="1">
      <alignment horizontal="center"/>
    </xf>
    <xf numFmtId="0" fontId="97" fillId="0" borderId="10" xfId="0" applyFont="1" applyFill="1" applyBorder="1" applyAlignment="1">
      <alignment horizontal="left"/>
    </xf>
    <xf numFmtId="0" fontId="97" fillId="0" borderId="23" xfId="0" applyFont="1" applyFill="1" applyBorder="1" applyAlignment="1">
      <alignment horizontal="left"/>
    </xf>
    <xf numFmtId="0" fontId="97" fillId="0" borderId="30" xfId="0" applyFont="1" applyFill="1" applyBorder="1" applyAlignment="1">
      <alignment horizontal="left"/>
    </xf>
    <xf numFmtId="0" fontId="97" fillId="0" borderId="10" xfId="0" applyFont="1" applyFill="1" applyBorder="1" applyAlignment="1">
      <alignment horizontal="right"/>
    </xf>
    <xf numFmtId="0" fontId="97" fillId="0" borderId="23" xfId="0" applyFont="1" applyFill="1" applyBorder="1" applyAlignment="1">
      <alignment horizontal="right"/>
    </xf>
    <xf numFmtId="0" fontId="97" fillId="0" borderId="30" xfId="0" applyFont="1" applyFill="1" applyBorder="1" applyAlignment="1">
      <alignment horizontal="right"/>
    </xf>
    <xf numFmtId="0" fontId="96" fillId="0" borderId="23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6" fillId="0" borderId="42" xfId="0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44" xfId="0" applyFont="1" applyBorder="1" applyAlignment="1">
      <alignment/>
    </xf>
    <xf numFmtId="0" fontId="96" fillId="0" borderId="45" xfId="0" applyFont="1" applyBorder="1" applyAlignment="1">
      <alignment/>
    </xf>
    <xf numFmtId="0" fontId="96" fillId="0" borderId="29" xfId="0" applyFont="1" applyBorder="1" applyAlignment="1">
      <alignment/>
    </xf>
    <xf numFmtId="0" fontId="97" fillId="0" borderId="11" xfId="0" applyFont="1" applyBorder="1" applyAlignment="1">
      <alignment horizontal="center"/>
    </xf>
    <xf numFmtId="0" fontId="97" fillId="0" borderId="10" xfId="0" applyFont="1" applyBorder="1" applyAlignment="1">
      <alignment horizontal="right" vertical="center"/>
    </xf>
    <xf numFmtId="0" fontId="97" fillId="0" borderId="23" xfId="0" applyFont="1" applyBorder="1" applyAlignment="1">
      <alignment horizontal="right" vertical="center"/>
    </xf>
    <xf numFmtId="0" fontId="97" fillId="0" borderId="30" xfId="0" applyFont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96" fillId="0" borderId="29" xfId="0" applyFont="1" applyBorder="1" applyAlignment="1">
      <alignment horizontal="center"/>
    </xf>
    <xf numFmtId="0" fontId="96" fillId="0" borderId="27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6" fillId="0" borderId="30" xfId="0" applyFont="1" applyBorder="1" applyAlignment="1">
      <alignment horizontal="center"/>
    </xf>
    <xf numFmtId="0" fontId="96" fillId="0" borderId="11" xfId="0" applyFont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96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96" fillId="0" borderId="16" xfId="0" applyFont="1" applyBorder="1" applyAlignment="1">
      <alignment vertical="center" wrapText="1"/>
    </xf>
    <xf numFmtId="0" fontId="96" fillId="0" borderId="18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4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5" fillId="0" borderId="0" xfId="0" applyFont="1" applyAlignment="1">
      <alignment/>
    </xf>
    <xf numFmtId="0" fontId="96" fillId="0" borderId="0" xfId="0" applyFont="1" applyFill="1" applyAlignment="1">
      <alignment horizontal="center"/>
    </xf>
    <xf numFmtId="43" fontId="100" fillId="0" borderId="11" xfId="36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100" fillId="0" borderId="11" xfId="0" applyFont="1" applyFill="1" applyBorder="1" applyAlignment="1">
      <alignment horizontal="center" vertical="center" wrapText="1"/>
    </xf>
    <xf numFmtId="49" fontId="100" fillId="0" borderId="16" xfId="36" applyNumberFormat="1" applyFont="1" applyFill="1" applyBorder="1" applyAlignment="1">
      <alignment horizontal="center" vertical="center" wrapText="1"/>
    </xf>
    <xf numFmtId="49" fontId="100" fillId="0" borderId="18" xfId="36" applyNumberFormat="1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9" fillId="0" borderId="30" xfId="0" applyFont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9" fillId="0" borderId="30" xfId="0" applyFont="1" applyFill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43" fontId="100" fillId="0" borderId="11" xfId="36" applyFont="1" applyBorder="1" applyAlignment="1">
      <alignment horizontal="center" vertical="center" wrapText="1"/>
    </xf>
    <xf numFmtId="0" fontId="101" fillId="0" borderId="0" xfId="0" applyFont="1" applyFill="1" applyAlignment="1">
      <alignment horizontal="center" vertical="justify" wrapText="1"/>
    </xf>
    <xf numFmtId="0" fontId="14" fillId="0" borderId="0" xfId="0" applyFont="1" applyFill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94" fillId="0" borderId="18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13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14" fillId="0" borderId="18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43" fontId="21" fillId="0" borderId="16" xfId="36" applyFont="1" applyFill="1" applyBorder="1" applyAlignment="1">
      <alignment horizontal="center" vertical="center"/>
    </xf>
    <xf numFmtId="43" fontId="21" fillId="0" borderId="18" xfId="36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15" fontId="26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13" fillId="0" borderId="18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14" fillId="0" borderId="18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center" vertical="center"/>
    </xf>
    <xf numFmtId="0" fontId="101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7" fillId="0" borderId="18" xfId="0" applyFont="1" applyFill="1" applyBorder="1" applyAlignment="1">
      <alignment horizontal="center" vertical="center" wrapText="1"/>
    </xf>
    <xf numFmtId="43" fontId="97" fillId="0" borderId="16" xfId="36" applyFont="1" applyFill="1" applyBorder="1" applyAlignment="1">
      <alignment horizontal="center" vertical="center" wrapText="1"/>
    </xf>
    <xf numFmtId="43" fontId="97" fillId="0" borderId="18" xfId="36" applyFont="1" applyFill="1" applyBorder="1" applyAlignment="1">
      <alignment horizontal="center" vertical="center" wrapText="1"/>
    </xf>
    <xf numFmtId="0" fontId="99" fillId="0" borderId="0" xfId="0" applyFont="1" applyFill="1" applyAlignment="1">
      <alignment wrapText="1"/>
    </xf>
    <xf numFmtId="43" fontId="99" fillId="0" borderId="0" xfId="36" applyFont="1" applyFill="1" applyAlignment="1">
      <alignment wrapText="1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97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18" xfId="0" applyFont="1" applyFill="1" applyBorder="1" applyAlignment="1">
      <alignment horizontal="center" vertical="center"/>
    </xf>
    <xf numFmtId="43" fontId="115" fillId="0" borderId="16" xfId="36" applyFont="1" applyFill="1" applyBorder="1" applyAlignment="1">
      <alignment horizontal="center" vertical="center" wrapText="1"/>
    </xf>
    <xf numFmtId="43" fontId="115" fillId="0" borderId="18" xfId="36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1;&#3637;&#3604;&#3591;&#3610;&#3611;&#3637;&#3591;&#3610;&#3611;&#3619;&#3632;&#3617;&#3634;&#3603;%202560\&#3591;&#3610;&#3649;&#3626;&#3604;&#3591;&#3600;&#3634;&#3609;&#3632;&#3607;&#3634;&#3591;&#3585;&#3634;&#3619;&#3648;&#3591;&#3636;&#3609;&#3611;&#3637;%202559%20%20(&#3626;&#3605;&#3591;.)%20&#3603;%20&#3623;&#3633;&#3609;&#3607;&#3637;&#3656;%20%206%20&#3617;&#3636;.&#3618;..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1;&#3637;&#3604;&#3591;&#3610;&#3611;&#3637;&#3591;&#3610;&#3611;&#3619;&#3632;&#3617;&#3634;&#3603;%202561\&#3591;&#3610;&#3607;&#3604;&#3621;&#3629;&#3591;%202561\&#3611;&#3636;&#3604;&#3591;&#3610;&#3649;&#3626;&#3604;&#3591;&#3600;&#3634;&#3609;&#3632;&#3585;&#3634;&#3619;&#3648;&#3591;&#3636;&#3609;%20&#3611;&#3637;%202561%20(&#3610;&#3633;&#3609;&#3607;&#3638;&#3585;&#3629;&#3633;&#3605;&#3650;&#3609;&#3617;&#3633;&#3605;&#3636;).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ทั่วไป"/>
      <sheetName val="งบรับ-จ่ายรวมเงินอุดหนุน"/>
      <sheetName val="งบทดลองก่อนการปรับปรุง"/>
      <sheetName val="งบทดลองหลังปรับปรุง"/>
      <sheetName val="งบทรัพย์สินใหม่"/>
      <sheetName val="งบแสดงฐานะการเงิน1"/>
      <sheetName val="หมายเหตุ2งบทรัพย์สิน"/>
      <sheetName val="เงินฝากธนาคารและรายได้ค้างรับ"/>
      <sheetName val="ลูกหนี้ค่าภาษี"/>
      <sheetName val="ลูกหนี้รายได้อื่น"/>
      <sheetName val="รายจ่ายค้างจ่าย"/>
      <sheetName val="เงินรับฝาก"/>
      <sheetName val="เงินสะสม"/>
      <sheetName val="รายละเอียดแนบท้าย หมายเหตุ 9"/>
      <sheetName val="แนบท้ายหมายเหตุ 10"/>
      <sheetName val="เงินทุนสำรองเงินสะสม"/>
      <sheetName val="สรุปรายจ่ายตามงบประมาณ"/>
      <sheetName val="รายจ่ายตามแผนงานรวม"/>
      <sheetName val="จ่ายจากเงินสะสม"/>
      <sheetName val="จ่ายจากเงินทุนสำรองจ่าย"/>
      <sheetName val="งบแสดงจากเงินรายรับ"/>
      <sheetName val="งบแสดงจากเงินรายรับและสะสม"/>
      <sheetName val="งบแสดงจากเงินทุนสำรองเงินสะสม"/>
      <sheetName val="แผนงานงบกลาง"/>
      <sheetName val="แผนบริหารานทั่วไป"/>
      <sheetName val="การรักษาความสงบภายใน"/>
      <sheetName val="แผนการศึกษา"/>
      <sheetName val="สาธารณสุข"/>
      <sheetName val="สังคมสงเคราะห์"/>
      <sheetName val="เคหะและชุมชน"/>
      <sheetName val="อุตสาหกรรมและการโยธา"/>
      <sheetName val="สร้างความเข้มแข็งของชุมชน"/>
      <sheetName val="ศาสนาวัฒนธรรม"/>
      <sheetName val="การเกษตร"/>
      <sheetName val="หมายเหตุประกอบงบ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ทั่วไป(ก่อนปิด)"/>
      <sheetName val="งบทดลองก่อนการปรับปรุง"/>
      <sheetName val="งบทดลองหลังปรับปรุง"/>
      <sheetName val="งบทรัพย์สินใหม่"/>
      <sheetName val="งบแสดงฐานะการเงิน1"/>
      <sheetName val="หมายเหตุ2งบทรัพย์สิน"/>
      <sheetName val="เงินฝากธนาคารและรายได้ค้างรับ"/>
      <sheetName val="ลูกหนี้เงินยืม"/>
      <sheetName val="ลูกหนี้รายได้อื่น ๆ"/>
      <sheetName val="ลูกหนี้เงินทุนเศรษฐกิจชุมชน"/>
      <sheetName val="ลูกหนี้อื่น ๆ"/>
      <sheetName val="ลูกหนี้เงินยืมเงินสะสม"/>
      <sheetName val="รายจ่ายค้างจ่าย"/>
      <sheetName val="ฎีกาค้างจ่าย"/>
      <sheetName val="เงินรับฝาก"/>
      <sheetName val="เจ้าหนี้เงินกู้"/>
      <sheetName val="เงินสะสม"/>
      <sheetName val="เงินสะสม (แบบใหม่)"/>
      <sheetName val="รายละเอียดแนบท้าย หมายเหตุ 21"/>
      <sheetName val="เงินทุนสำรองเงินสะสม"/>
      <sheetName val="แนบท้ายหมายเหตุ 22"/>
      <sheetName val="จ่ายจากเงินทุนสำรองจ่าย"/>
      <sheetName val="จ่ายจากเงินสะสม"/>
      <sheetName val="รายจ่ายตามแผนงานรวม"/>
      <sheetName val="งบแสดงจากเงินรายรับ"/>
      <sheetName val="งบแสดงจากเงินรายรับและสะสม"/>
      <sheetName val="งบแสดงจากเงินทุนสำรองเงินสะสม"/>
      <sheetName val="งบรับ-จ่ายรวมเงินอุดหนุน"/>
      <sheetName val="สรุปรายจ่ายตามงบประมาณ "/>
      <sheetName val="แผนงานงบกลาง"/>
      <sheetName val="แผนบริหารงานทั่วไป"/>
      <sheetName val="การรักษาความสงบภายใน"/>
      <sheetName val="แผน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ศาสนาวัฒนธรรม"/>
      <sheetName val="การเกษตร"/>
      <sheetName val="หมายเหตุประกอบงบ"/>
      <sheetName val="กระดาษทำการ 61"/>
      <sheetName val="Sheet1"/>
      <sheetName val="Sheet2"/>
      <sheetName val="Sheet3"/>
    </sheetNames>
    <sheetDataSet>
      <sheetData sheetId="23">
        <row r="9">
          <cell r="D9">
            <v>4663117</v>
          </cell>
        </row>
        <row r="10">
          <cell r="D10">
            <v>239700</v>
          </cell>
        </row>
        <row r="11">
          <cell r="D11">
            <v>766166</v>
          </cell>
        </row>
        <row r="12">
          <cell r="D12">
            <v>468199.9</v>
          </cell>
        </row>
        <row r="13">
          <cell r="D13">
            <v>339990.57</v>
          </cell>
        </row>
        <row r="14">
          <cell r="D14">
            <v>108900</v>
          </cell>
        </row>
        <row r="16">
          <cell r="D16">
            <v>27000</v>
          </cell>
        </row>
        <row r="17">
          <cell r="D17">
            <v>0</v>
          </cell>
        </row>
      </sheetData>
      <sheetData sheetId="25">
        <row r="8">
          <cell r="D8">
            <v>2868085</v>
          </cell>
        </row>
        <row r="9">
          <cell r="D9">
            <v>4663117</v>
          </cell>
          <cell r="E9">
            <v>2164999</v>
          </cell>
          <cell r="F9">
            <v>241440</v>
          </cell>
          <cell r="G9">
            <v>0</v>
          </cell>
          <cell r="H9">
            <v>935100</v>
          </cell>
          <cell r="I9">
            <v>834964</v>
          </cell>
          <cell r="K9">
            <v>0</v>
          </cell>
          <cell r="L9">
            <v>0</v>
          </cell>
          <cell r="M9">
            <v>140434</v>
          </cell>
        </row>
        <row r="10">
          <cell r="D10">
            <v>239700</v>
          </cell>
          <cell r="E10">
            <v>29800</v>
          </cell>
          <cell r="F10">
            <v>0</v>
          </cell>
          <cell r="G10">
            <v>42000</v>
          </cell>
          <cell r="H10">
            <v>36000</v>
          </cell>
          <cell r="I10">
            <v>39000</v>
          </cell>
          <cell r="K10">
            <v>0</v>
          </cell>
          <cell r="L10">
            <v>0</v>
          </cell>
        </row>
        <row r="11">
          <cell r="D11">
            <v>766166</v>
          </cell>
          <cell r="E11">
            <v>981033</v>
          </cell>
          <cell r="F11">
            <v>102012</v>
          </cell>
          <cell r="G11">
            <v>38890</v>
          </cell>
          <cell r="H11">
            <v>20672</v>
          </cell>
          <cell r="I11">
            <v>772361</v>
          </cell>
          <cell r="K11">
            <v>43340</v>
          </cell>
          <cell r="L11">
            <v>44206</v>
          </cell>
        </row>
        <row r="12">
          <cell r="D12">
            <v>468199.9</v>
          </cell>
          <cell r="E12">
            <v>842121.36</v>
          </cell>
          <cell r="F12">
            <v>50250</v>
          </cell>
          <cell r="G12">
            <v>30600</v>
          </cell>
          <cell r="H12">
            <v>10000</v>
          </cell>
          <cell r="I12">
            <v>127372.65</v>
          </cell>
          <cell r="K12">
            <v>0</v>
          </cell>
          <cell r="L12">
            <v>0</v>
          </cell>
        </row>
        <row r="13">
          <cell r="D13">
            <v>339990.57</v>
          </cell>
          <cell r="E13">
            <v>22843.29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</row>
        <row r="14">
          <cell r="D14">
            <v>108900</v>
          </cell>
          <cell r="E14">
            <v>44800</v>
          </cell>
          <cell r="F14">
            <v>27900</v>
          </cell>
          <cell r="G14">
            <v>30000</v>
          </cell>
          <cell r="H14">
            <v>0</v>
          </cell>
          <cell r="I14">
            <v>104660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4386700</v>
          </cell>
          <cell r="K15">
            <v>0</v>
          </cell>
          <cell r="L15">
            <v>0</v>
          </cell>
        </row>
        <row r="16">
          <cell r="D16">
            <v>27000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1496000</v>
          </cell>
          <cell r="F17">
            <v>340000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20">
          <cell r="C20">
            <v>300746.76</v>
          </cell>
        </row>
        <row r="21">
          <cell r="C21">
            <v>202158</v>
          </cell>
        </row>
        <row r="22">
          <cell r="C22">
            <v>187567.88</v>
          </cell>
        </row>
        <row r="23">
          <cell r="C23">
            <v>4323</v>
          </cell>
        </row>
        <row r="24">
          <cell r="C24">
            <v>0</v>
          </cell>
        </row>
        <row r="25">
          <cell r="C25">
            <v>19936365.63</v>
          </cell>
        </row>
        <row r="26">
          <cell r="C26">
            <v>22350376</v>
          </cell>
        </row>
        <row r="27">
          <cell r="C27">
            <v>0</v>
          </cell>
        </row>
      </sheetData>
      <sheetData sheetId="27">
        <row r="12">
          <cell r="B12">
            <v>304000</v>
          </cell>
          <cell r="C12">
            <v>300746.76</v>
          </cell>
        </row>
        <row r="23">
          <cell r="B23">
            <v>18564000</v>
          </cell>
          <cell r="C23">
            <v>19936365.63</v>
          </cell>
        </row>
        <row r="39">
          <cell r="B39">
            <v>184100</v>
          </cell>
          <cell r="C39">
            <v>202158</v>
          </cell>
        </row>
        <row r="42">
          <cell r="B42">
            <v>131000</v>
          </cell>
          <cell r="C42">
            <v>187567.88</v>
          </cell>
        </row>
        <row r="51">
          <cell r="B51">
            <v>136400</v>
          </cell>
          <cell r="C51">
            <v>4323</v>
          </cell>
        </row>
        <row r="54">
          <cell r="B54">
            <v>500</v>
          </cell>
          <cell r="C54">
            <v>0</v>
          </cell>
        </row>
        <row r="57">
          <cell r="C57">
            <v>22350376</v>
          </cell>
        </row>
        <row r="58">
          <cell r="C58">
            <v>0</v>
          </cell>
        </row>
        <row r="59">
          <cell r="C59">
            <v>0</v>
          </cell>
        </row>
        <row r="60">
          <cell r="B60">
            <v>27215000</v>
          </cell>
          <cell r="C60">
            <v>22350376</v>
          </cell>
        </row>
      </sheetData>
      <sheetData sheetId="28">
        <row r="15">
          <cell r="D15">
            <v>16194980</v>
          </cell>
          <cell r="E15">
            <v>14401489</v>
          </cell>
        </row>
        <row r="23">
          <cell r="D23">
            <v>3155120</v>
          </cell>
          <cell r="E23">
            <v>2868085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5">
          <cell r="D25">
            <v>2588700</v>
          </cell>
          <cell r="E25">
            <v>2158006</v>
          </cell>
        </row>
        <row r="26">
          <cell r="D26">
            <v>84000</v>
          </cell>
          <cell r="E26">
            <v>84000</v>
          </cell>
        </row>
        <row r="27">
          <cell r="D27">
            <v>168000</v>
          </cell>
          <cell r="E27">
            <v>126000</v>
          </cell>
        </row>
        <row r="29">
          <cell r="D29">
            <v>687120</v>
          </cell>
          <cell r="E29">
            <v>623591</v>
          </cell>
        </row>
        <row r="30">
          <cell r="D30">
            <v>65100</v>
          </cell>
          <cell r="E30">
            <v>61730</v>
          </cell>
        </row>
        <row r="32">
          <cell r="D32">
            <v>3592920</v>
          </cell>
          <cell r="E32">
            <v>3053327</v>
          </cell>
        </row>
        <row r="33">
          <cell r="D33">
            <v>1496500</v>
          </cell>
          <cell r="E33">
            <v>1174479</v>
          </cell>
        </row>
        <row r="34">
          <cell r="D34">
            <v>21420</v>
          </cell>
          <cell r="E34">
            <v>0</v>
          </cell>
        </row>
        <row r="35">
          <cell r="D35">
            <v>42000</v>
          </cell>
          <cell r="E35">
            <v>42000</v>
          </cell>
        </row>
        <row r="37">
          <cell r="D37">
            <v>361200</v>
          </cell>
          <cell r="E37">
            <v>360485</v>
          </cell>
        </row>
        <row r="38">
          <cell r="D38">
            <v>39810</v>
          </cell>
          <cell r="E38">
            <v>32826</v>
          </cell>
        </row>
        <row r="40">
          <cell r="D40">
            <v>1960930</v>
          </cell>
          <cell r="E40">
            <v>1609790</v>
          </cell>
        </row>
        <row r="41">
          <cell r="D41">
            <v>426220</v>
          </cell>
          <cell r="E41">
            <v>335836</v>
          </cell>
        </row>
        <row r="42">
          <cell r="D42">
            <v>21420</v>
          </cell>
          <cell r="E42">
            <v>0</v>
          </cell>
        </row>
        <row r="43">
          <cell r="D43">
            <v>42000</v>
          </cell>
          <cell r="E43">
            <v>24048</v>
          </cell>
        </row>
        <row r="45">
          <cell r="D45">
            <v>424920</v>
          </cell>
          <cell r="E45">
            <v>417000</v>
          </cell>
        </row>
        <row r="46">
          <cell r="D46">
            <v>65940</v>
          </cell>
          <cell r="E46">
            <v>58080</v>
          </cell>
        </row>
        <row r="48">
          <cell r="D48">
            <v>980500</v>
          </cell>
          <cell r="E48">
            <v>834964</v>
          </cell>
        </row>
        <row r="49">
          <cell r="D49">
            <v>329760</v>
          </cell>
          <cell r="E49">
            <v>326760</v>
          </cell>
        </row>
        <row r="50">
          <cell r="D50">
            <v>42000</v>
          </cell>
          <cell r="E50">
            <v>42000</v>
          </cell>
        </row>
        <row r="52">
          <cell r="D52">
            <v>149680</v>
          </cell>
          <cell r="E52">
            <v>90600</v>
          </cell>
        </row>
        <row r="54">
          <cell r="D54">
            <v>521440</v>
          </cell>
          <cell r="E54">
            <v>459360</v>
          </cell>
        </row>
        <row r="55">
          <cell r="D55">
            <v>1058560</v>
          </cell>
          <cell r="E55">
            <v>1004309</v>
          </cell>
        </row>
        <row r="56">
          <cell r="D56">
            <v>35000</v>
          </cell>
          <cell r="E56">
            <v>35000</v>
          </cell>
        </row>
        <row r="58">
          <cell r="D58">
            <v>1120240</v>
          </cell>
          <cell r="E58">
            <v>592317</v>
          </cell>
        </row>
        <row r="59">
          <cell r="D59">
            <v>100700</v>
          </cell>
          <cell r="E59">
            <v>74013</v>
          </cell>
        </row>
        <row r="61">
          <cell r="D61">
            <v>2314500</v>
          </cell>
          <cell r="E61">
            <v>1705639</v>
          </cell>
        </row>
        <row r="62">
          <cell r="D62">
            <v>96620</v>
          </cell>
          <cell r="E62">
            <v>60240</v>
          </cell>
        </row>
        <row r="63">
          <cell r="D63">
            <v>42000</v>
          </cell>
          <cell r="E63">
            <v>0</v>
          </cell>
        </row>
        <row r="65">
          <cell r="D65">
            <v>184680</v>
          </cell>
          <cell r="E65">
            <v>181200</v>
          </cell>
        </row>
        <row r="67">
          <cell r="D67">
            <v>323300</v>
          </cell>
          <cell r="E67">
            <v>241440</v>
          </cell>
        </row>
        <row r="68">
          <cell r="D68">
            <v>552480</v>
          </cell>
          <cell r="E68">
            <v>552480</v>
          </cell>
        </row>
        <row r="69">
          <cell r="D69">
            <v>42000</v>
          </cell>
          <cell r="E69">
            <v>42000</v>
          </cell>
        </row>
        <row r="71">
          <cell r="D71">
            <v>332160</v>
          </cell>
          <cell r="E71">
            <v>325920</v>
          </cell>
        </row>
        <row r="72">
          <cell r="D72">
            <v>20340</v>
          </cell>
          <cell r="E72">
            <v>14700</v>
          </cell>
        </row>
        <row r="74">
          <cell r="D74">
            <v>946980</v>
          </cell>
          <cell r="E74">
            <v>935100</v>
          </cell>
        </row>
        <row r="75">
          <cell r="D75">
            <v>320</v>
          </cell>
        </row>
        <row r="76">
          <cell r="D76">
            <v>0</v>
          </cell>
          <cell r="E76">
            <v>0</v>
          </cell>
        </row>
        <row r="78">
          <cell r="D78">
            <v>140160</v>
          </cell>
          <cell r="E78">
            <v>121144</v>
          </cell>
        </row>
        <row r="79">
          <cell r="D79">
            <v>24000</v>
          </cell>
          <cell r="E79">
            <v>19290</v>
          </cell>
        </row>
        <row r="81">
          <cell r="D81">
            <v>164480</v>
          </cell>
          <cell r="E81">
            <v>140434</v>
          </cell>
        </row>
        <row r="82">
          <cell r="D82">
            <v>10805050</v>
          </cell>
        </row>
        <row r="84">
          <cell r="D84">
            <v>136000</v>
          </cell>
          <cell r="E84">
            <v>0</v>
          </cell>
        </row>
        <row r="85">
          <cell r="D85">
            <v>10000</v>
          </cell>
          <cell r="E85">
            <v>0</v>
          </cell>
        </row>
        <row r="86">
          <cell r="D86">
            <v>78000</v>
          </cell>
          <cell r="E86">
            <v>63600</v>
          </cell>
        </row>
        <row r="87">
          <cell r="D87">
            <v>19800</v>
          </cell>
          <cell r="E87">
            <v>4200</v>
          </cell>
        </row>
        <row r="88">
          <cell r="D88">
            <v>243800</v>
          </cell>
          <cell r="E88">
            <v>67800</v>
          </cell>
        </row>
        <row r="90">
          <cell r="D90">
            <v>45000</v>
          </cell>
          <cell r="E90">
            <v>42000</v>
          </cell>
        </row>
        <row r="93">
          <cell r="D93">
            <v>100000</v>
          </cell>
          <cell r="E93">
            <v>39000</v>
          </cell>
        </row>
        <row r="94">
          <cell r="D94">
            <v>10000</v>
          </cell>
          <cell r="E94">
            <v>0</v>
          </cell>
        </row>
        <row r="95">
          <cell r="D95">
            <v>198000</v>
          </cell>
          <cell r="E95">
            <v>132900</v>
          </cell>
        </row>
        <row r="96">
          <cell r="D96">
            <v>19400</v>
          </cell>
        </row>
        <row r="97">
          <cell r="D97">
            <v>327400</v>
          </cell>
          <cell r="E97">
            <v>171900</v>
          </cell>
        </row>
        <row r="99">
          <cell r="D99">
            <v>40200</v>
          </cell>
          <cell r="E99">
            <v>0</v>
          </cell>
        </row>
        <row r="100">
          <cell r="D100">
            <v>10000</v>
          </cell>
          <cell r="E100">
            <v>0</v>
          </cell>
        </row>
        <row r="101">
          <cell r="D101">
            <v>78000</v>
          </cell>
          <cell r="E101">
            <v>39000</v>
          </cell>
        </row>
        <row r="102">
          <cell r="D102">
            <v>14600</v>
          </cell>
          <cell r="E102">
            <v>0</v>
          </cell>
        </row>
        <row r="103">
          <cell r="D103">
            <v>142800</v>
          </cell>
          <cell r="E103">
            <v>39000</v>
          </cell>
        </row>
        <row r="105">
          <cell r="D105">
            <v>21300</v>
          </cell>
          <cell r="E105">
            <v>0</v>
          </cell>
        </row>
        <row r="106">
          <cell r="D106">
            <v>10000</v>
          </cell>
          <cell r="E106">
            <v>0</v>
          </cell>
        </row>
        <row r="107">
          <cell r="D107">
            <v>4000</v>
          </cell>
          <cell r="E107">
            <v>0</v>
          </cell>
        </row>
        <row r="109">
          <cell r="D109">
            <v>35300</v>
          </cell>
          <cell r="E109">
            <v>0</v>
          </cell>
        </row>
        <row r="110">
          <cell r="D110">
            <v>84600</v>
          </cell>
          <cell r="E110">
            <v>0</v>
          </cell>
        </row>
        <row r="111">
          <cell r="D111">
            <v>5000</v>
          </cell>
          <cell r="E111">
            <v>0</v>
          </cell>
        </row>
        <row r="112">
          <cell r="D112">
            <v>36000</v>
          </cell>
          <cell r="E112">
            <v>29800</v>
          </cell>
        </row>
        <row r="114">
          <cell r="D114">
            <v>125600</v>
          </cell>
          <cell r="E114">
            <v>29800</v>
          </cell>
        </row>
        <row r="116">
          <cell r="D116">
            <v>38000</v>
          </cell>
          <cell r="E116">
            <v>0</v>
          </cell>
        </row>
        <row r="117">
          <cell r="D117">
            <v>5000</v>
          </cell>
        </row>
        <row r="118">
          <cell r="D118">
            <v>9600</v>
          </cell>
        </row>
        <row r="119">
          <cell r="D119">
            <v>42000</v>
          </cell>
        </row>
        <row r="120">
          <cell r="D120">
            <v>94600</v>
          </cell>
          <cell r="E120">
            <v>0</v>
          </cell>
        </row>
        <row r="122">
          <cell r="D122">
            <v>36100</v>
          </cell>
          <cell r="E122">
            <v>0</v>
          </cell>
        </row>
        <row r="123">
          <cell r="D123">
            <v>10000</v>
          </cell>
          <cell r="E123">
            <v>0</v>
          </cell>
        </row>
        <row r="124">
          <cell r="D124">
            <v>2680</v>
          </cell>
        </row>
        <row r="125">
          <cell r="D125">
            <v>42000</v>
          </cell>
          <cell r="E125">
            <v>36000</v>
          </cell>
        </row>
        <row r="126">
          <cell r="D126">
            <v>90780</v>
          </cell>
          <cell r="E126">
            <v>36000</v>
          </cell>
        </row>
        <row r="128">
          <cell r="D128">
            <v>23800</v>
          </cell>
          <cell r="E128">
            <v>0</v>
          </cell>
        </row>
        <row r="129">
          <cell r="D129">
            <v>2000</v>
          </cell>
          <cell r="E129">
            <v>0</v>
          </cell>
        </row>
        <row r="130">
          <cell r="D130">
            <v>0</v>
          </cell>
        </row>
        <row r="132">
          <cell r="D132">
            <v>35800</v>
          </cell>
          <cell r="E132">
            <v>0</v>
          </cell>
        </row>
        <row r="133">
          <cell r="D133">
            <v>1141080</v>
          </cell>
        </row>
        <row r="135">
          <cell r="D135">
            <v>500000</v>
          </cell>
          <cell r="E135">
            <v>400751</v>
          </cell>
        </row>
        <row r="136">
          <cell r="D136">
            <v>70000</v>
          </cell>
          <cell r="E136">
            <v>58695</v>
          </cell>
        </row>
        <row r="138">
          <cell r="D138">
            <v>100000</v>
          </cell>
          <cell r="E138">
            <v>24516</v>
          </cell>
        </row>
        <row r="139">
          <cell r="D139">
            <v>56800</v>
          </cell>
          <cell r="E139">
            <v>6750</v>
          </cell>
        </row>
        <row r="140">
          <cell r="D140">
            <v>57500</v>
          </cell>
          <cell r="E140">
            <v>0</v>
          </cell>
        </row>
        <row r="141">
          <cell r="D141">
            <v>20000</v>
          </cell>
          <cell r="E141">
            <v>0</v>
          </cell>
        </row>
        <row r="142">
          <cell r="D142">
            <v>50000</v>
          </cell>
          <cell r="E142">
            <v>18895</v>
          </cell>
        </row>
        <row r="143">
          <cell r="D143">
            <v>20000</v>
          </cell>
          <cell r="E143">
            <v>0</v>
          </cell>
        </row>
        <row r="144">
          <cell r="D144">
            <v>50000</v>
          </cell>
          <cell r="E144">
            <v>5860</v>
          </cell>
        </row>
        <row r="145">
          <cell r="D145">
            <v>10000</v>
          </cell>
          <cell r="E145">
            <v>4680</v>
          </cell>
        </row>
        <row r="146">
          <cell r="D146">
            <v>20000</v>
          </cell>
          <cell r="E146">
            <v>13760</v>
          </cell>
        </row>
        <row r="147">
          <cell r="D147">
            <v>120000</v>
          </cell>
          <cell r="E147">
            <v>107740</v>
          </cell>
        </row>
        <row r="148">
          <cell r="D148">
            <v>1074300</v>
          </cell>
          <cell r="E148">
            <v>641647</v>
          </cell>
        </row>
        <row r="150">
          <cell r="D150">
            <v>20000</v>
          </cell>
          <cell r="E150">
            <v>6000</v>
          </cell>
        </row>
        <row r="151">
          <cell r="D151">
            <v>20000</v>
          </cell>
          <cell r="E151">
            <v>8800</v>
          </cell>
        </row>
        <row r="152">
          <cell r="D152">
            <v>30000</v>
          </cell>
          <cell r="E152">
            <v>900</v>
          </cell>
        </row>
        <row r="153">
          <cell r="D153">
            <v>10000</v>
          </cell>
          <cell r="E153">
            <v>800</v>
          </cell>
        </row>
        <row r="154">
          <cell r="D154">
            <v>20000</v>
          </cell>
          <cell r="E154">
            <v>0</v>
          </cell>
        </row>
        <row r="155">
          <cell r="D155">
            <v>50000</v>
          </cell>
          <cell r="E155">
            <v>22390</v>
          </cell>
        </row>
        <row r="156">
          <cell r="D156">
            <v>50000</v>
          </cell>
        </row>
        <row r="157">
          <cell r="D157">
            <v>200000</v>
          </cell>
          <cell r="E157">
            <v>38890</v>
          </cell>
        </row>
        <row r="159">
          <cell r="D159">
            <v>250000</v>
          </cell>
          <cell r="E159">
            <v>99351</v>
          </cell>
        </row>
        <row r="161">
          <cell r="D161">
            <v>5000</v>
          </cell>
        </row>
        <row r="162">
          <cell r="D162">
            <v>135290</v>
          </cell>
          <cell r="E162">
            <v>0</v>
          </cell>
        </row>
        <row r="163">
          <cell r="D163">
            <v>40000</v>
          </cell>
          <cell r="E163">
            <v>24168</v>
          </cell>
        </row>
        <row r="164">
          <cell r="D164">
            <v>20000</v>
          </cell>
          <cell r="E164">
            <v>1000</v>
          </cell>
        </row>
        <row r="165">
          <cell r="D165">
            <v>450290</v>
          </cell>
          <cell r="E165">
            <v>124519</v>
          </cell>
        </row>
        <row r="166">
          <cell r="D166">
            <v>385000</v>
          </cell>
          <cell r="E166">
            <v>258073</v>
          </cell>
        </row>
        <row r="167">
          <cell r="D167">
            <v>10000</v>
          </cell>
          <cell r="E167">
            <v>0</v>
          </cell>
        </row>
        <row r="169">
          <cell r="D169">
            <v>30000</v>
          </cell>
          <cell r="E169">
            <v>0</v>
          </cell>
        </row>
        <row r="170">
          <cell r="D170">
            <v>30000</v>
          </cell>
          <cell r="E170">
            <v>27940</v>
          </cell>
        </row>
        <row r="171">
          <cell r="D171">
            <v>30000</v>
          </cell>
          <cell r="E171">
            <v>0</v>
          </cell>
        </row>
        <row r="172">
          <cell r="D172">
            <v>30000</v>
          </cell>
          <cell r="E172">
            <v>0</v>
          </cell>
        </row>
        <row r="173">
          <cell r="D173">
            <v>35000</v>
          </cell>
          <cell r="E173">
            <v>16732</v>
          </cell>
        </row>
        <row r="174">
          <cell r="D174">
            <v>10000</v>
          </cell>
          <cell r="E174">
            <v>2900</v>
          </cell>
        </row>
        <row r="175">
          <cell r="D175">
            <v>560000</v>
          </cell>
          <cell r="E175">
            <v>305645</v>
          </cell>
        </row>
        <row r="177">
          <cell r="D177">
            <v>490480</v>
          </cell>
          <cell r="E177">
            <v>490480</v>
          </cell>
        </row>
        <row r="178">
          <cell r="D178">
            <v>18000</v>
          </cell>
        </row>
        <row r="179">
          <cell r="D179">
            <v>170000</v>
          </cell>
          <cell r="E179">
            <v>170000</v>
          </cell>
        </row>
        <row r="180">
          <cell r="D180">
            <v>30000</v>
          </cell>
          <cell r="E180">
            <v>11608</v>
          </cell>
        </row>
        <row r="181">
          <cell r="D181">
            <v>200000</v>
          </cell>
          <cell r="E181">
            <v>3300</v>
          </cell>
        </row>
        <row r="182">
          <cell r="D182">
            <v>908480</v>
          </cell>
          <cell r="E182">
            <v>675388</v>
          </cell>
        </row>
        <row r="184">
          <cell r="D184">
            <v>90000</v>
          </cell>
          <cell r="E184">
            <v>0</v>
          </cell>
        </row>
        <row r="185">
          <cell r="D185">
            <v>90000</v>
          </cell>
          <cell r="E185">
            <v>0</v>
          </cell>
        </row>
        <row r="186">
          <cell r="D186">
            <v>20000</v>
          </cell>
          <cell r="E186">
            <v>0</v>
          </cell>
        </row>
        <row r="188">
          <cell r="D188">
            <v>49520</v>
          </cell>
          <cell r="E188">
            <v>17306</v>
          </cell>
        </row>
        <row r="189">
          <cell r="D189">
            <v>0</v>
          </cell>
          <cell r="E189">
            <v>0</v>
          </cell>
        </row>
        <row r="190">
          <cell r="D190">
            <v>30000</v>
          </cell>
          <cell r="E190">
            <v>26900</v>
          </cell>
        </row>
        <row r="191">
          <cell r="D191">
            <v>99520</v>
          </cell>
          <cell r="E191">
            <v>44206</v>
          </cell>
        </row>
        <row r="193">
          <cell r="D193">
            <v>30000</v>
          </cell>
          <cell r="E193">
            <v>0</v>
          </cell>
        </row>
        <row r="195">
          <cell r="D195">
            <v>40000</v>
          </cell>
        </row>
        <row r="196">
          <cell r="D196">
            <v>136000</v>
          </cell>
          <cell r="E196">
            <v>29000</v>
          </cell>
        </row>
        <row r="198">
          <cell r="D198">
            <v>206000</v>
          </cell>
          <cell r="E198">
            <v>29000</v>
          </cell>
        </row>
        <row r="200">
          <cell r="D200">
            <v>516000</v>
          </cell>
          <cell r="E200">
            <v>497000</v>
          </cell>
        </row>
        <row r="201">
          <cell r="D201">
            <v>130000</v>
          </cell>
          <cell r="E201">
            <v>0</v>
          </cell>
        </row>
        <row r="202">
          <cell r="D202">
            <v>646000</v>
          </cell>
          <cell r="E202">
            <v>497000</v>
          </cell>
        </row>
        <row r="204">
          <cell r="D204">
            <v>100000</v>
          </cell>
          <cell r="E204">
            <v>20200</v>
          </cell>
        </row>
        <row r="205">
          <cell r="D205">
            <v>10000</v>
          </cell>
          <cell r="E205">
            <v>0</v>
          </cell>
        </row>
        <row r="206">
          <cell r="D206">
            <v>110000</v>
          </cell>
          <cell r="E206">
            <v>20200</v>
          </cell>
        </row>
        <row r="208">
          <cell r="D208">
            <v>470000</v>
          </cell>
          <cell r="E208">
            <v>226161</v>
          </cell>
        </row>
        <row r="210">
          <cell r="D210">
            <v>40000</v>
          </cell>
          <cell r="E210">
            <v>0</v>
          </cell>
        </row>
        <row r="211">
          <cell r="D211">
            <v>10000</v>
          </cell>
          <cell r="E211">
            <v>0</v>
          </cell>
        </row>
        <row r="212">
          <cell r="D212">
            <v>520000</v>
          </cell>
          <cell r="E212">
            <v>226161</v>
          </cell>
        </row>
        <row r="214">
          <cell r="D214">
            <v>18360</v>
          </cell>
          <cell r="E214">
            <v>15100</v>
          </cell>
        </row>
        <row r="215">
          <cell r="D215">
            <v>10000</v>
          </cell>
          <cell r="E215">
            <v>0</v>
          </cell>
        </row>
        <row r="217">
          <cell r="D217">
            <v>500</v>
          </cell>
          <cell r="E217">
            <v>500</v>
          </cell>
        </row>
        <row r="218">
          <cell r="D218">
            <v>0</v>
          </cell>
          <cell r="E218">
            <v>0</v>
          </cell>
        </row>
        <row r="219">
          <cell r="D219">
            <v>89500</v>
          </cell>
          <cell r="E219">
            <v>80470</v>
          </cell>
        </row>
        <row r="220">
          <cell r="D220">
            <v>10000</v>
          </cell>
          <cell r="E220">
            <v>5942</v>
          </cell>
        </row>
        <row r="221">
          <cell r="D221">
            <v>10000</v>
          </cell>
          <cell r="E221">
            <v>0</v>
          </cell>
        </row>
        <row r="222">
          <cell r="D222">
            <v>138360</v>
          </cell>
          <cell r="E222">
            <v>102012</v>
          </cell>
        </row>
        <row r="224">
          <cell r="D224">
            <v>60000</v>
          </cell>
          <cell r="E224">
            <v>8300</v>
          </cell>
        </row>
        <row r="225">
          <cell r="D225">
            <v>5500</v>
          </cell>
          <cell r="E225">
            <v>0</v>
          </cell>
        </row>
        <row r="227">
          <cell r="D227">
            <v>20000</v>
          </cell>
          <cell r="E227">
            <v>4872</v>
          </cell>
        </row>
        <row r="228">
          <cell r="D228">
            <v>10000</v>
          </cell>
          <cell r="E228">
            <v>7500</v>
          </cell>
        </row>
        <row r="229">
          <cell r="D229">
            <v>95500</v>
          </cell>
          <cell r="E229">
            <v>20672</v>
          </cell>
        </row>
        <row r="232">
          <cell r="D232">
            <v>10000</v>
          </cell>
          <cell r="E232">
            <v>0</v>
          </cell>
        </row>
        <row r="233">
          <cell r="D233">
            <v>10000</v>
          </cell>
        </row>
        <row r="236">
          <cell r="D236">
            <v>80000</v>
          </cell>
          <cell r="E236">
            <v>0</v>
          </cell>
        </row>
        <row r="237">
          <cell r="D237">
            <v>20000</v>
          </cell>
          <cell r="E237">
            <v>20000</v>
          </cell>
        </row>
        <row r="238">
          <cell r="D238">
            <v>30000</v>
          </cell>
          <cell r="E238">
            <v>18690</v>
          </cell>
        </row>
        <row r="239">
          <cell r="D239">
            <v>20000</v>
          </cell>
          <cell r="E239">
            <v>0</v>
          </cell>
        </row>
        <row r="240">
          <cell r="D240">
            <v>10000</v>
          </cell>
          <cell r="E240">
            <v>4650</v>
          </cell>
        </row>
        <row r="241">
          <cell r="D241">
            <v>40000</v>
          </cell>
          <cell r="E241">
            <v>0</v>
          </cell>
        </row>
        <row r="242">
          <cell r="D242">
            <v>200000</v>
          </cell>
          <cell r="E242">
            <v>43340</v>
          </cell>
        </row>
        <row r="244">
          <cell r="D244">
            <v>9000</v>
          </cell>
          <cell r="E244">
            <v>0</v>
          </cell>
        </row>
        <row r="246">
          <cell r="D246">
            <v>50000</v>
          </cell>
          <cell r="E246">
            <v>0</v>
          </cell>
        </row>
        <row r="247">
          <cell r="D247">
            <v>10000</v>
          </cell>
          <cell r="E247">
            <v>0</v>
          </cell>
        </row>
        <row r="248">
          <cell r="D248">
            <v>10000</v>
          </cell>
          <cell r="E248">
            <v>0</v>
          </cell>
        </row>
        <row r="249">
          <cell r="D249">
            <v>79000</v>
          </cell>
          <cell r="E249">
            <v>0</v>
          </cell>
        </row>
        <row r="252">
          <cell r="D252">
            <v>30000</v>
          </cell>
          <cell r="E252">
            <v>6970</v>
          </cell>
        </row>
        <row r="253">
          <cell r="D253">
            <v>40000</v>
          </cell>
          <cell r="E253">
            <v>30900</v>
          </cell>
        </row>
        <row r="255">
          <cell r="D255">
            <v>70000</v>
          </cell>
          <cell r="E255">
            <v>37870</v>
          </cell>
        </row>
        <row r="256">
          <cell r="D256">
            <v>5457450</v>
          </cell>
        </row>
        <row r="258">
          <cell r="D258">
            <v>199000</v>
          </cell>
          <cell r="E258">
            <v>158282</v>
          </cell>
        </row>
        <row r="259">
          <cell r="D259">
            <v>20000</v>
          </cell>
          <cell r="E259">
            <v>0</v>
          </cell>
        </row>
        <row r="260">
          <cell r="D260">
            <v>70000</v>
          </cell>
          <cell r="E260">
            <v>63000</v>
          </cell>
        </row>
        <row r="261">
          <cell r="D261">
            <v>200000</v>
          </cell>
          <cell r="E261">
            <v>136784</v>
          </cell>
        </row>
        <row r="262">
          <cell r="D262">
            <v>10000</v>
          </cell>
          <cell r="E262">
            <v>0</v>
          </cell>
        </row>
        <row r="263">
          <cell r="D263">
            <v>50000</v>
          </cell>
          <cell r="E263">
            <v>50000</v>
          </cell>
        </row>
        <row r="264">
          <cell r="D264">
            <v>549000</v>
          </cell>
          <cell r="E264">
            <v>408066</v>
          </cell>
        </row>
        <row r="265">
          <cell r="D265">
            <v>30600</v>
          </cell>
          <cell r="E265">
            <v>30600</v>
          </cell>
        </row>
        <row r="266">
          <cell r="D266">
            <v>30600</v>
          </cell>
          <cell r="E266">
            <v>30600</v>
          </cell>
        </row>
        <row r="267">
          <cell r="D267">
            <v>41000</v>
          </cell>
          <cell r="E267">
            <v>40133.9</v>
          </cell>
        </row>
        <row r="268">
          <cell r="D268">
            <v>20000</v>
          </cell>
          <cell r="E268">
            <v>20000</v>
          </cell>
        </row>
        <row r="269">
          <cell r="D269">
            <v>61000</v>
          </cell>
          <cell r="E269">
            <v>60133.9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D270">
            <v>20000</v>
          </cell>
          <cell r="E270">
            <v>0</v>
          </cell>
        </row>
        <row r="271">
          <cell r="D271">
            <v>20000</v>
          </cell>
          <cell r="E271">
            <v>10100</v>
          </cell>
        </row>
        <row r="272">
          <cell r="D272">
            <v>10000</v>
          </cell>
          <cell r="E272">
            <v>0</v>
          </cell>
        </row>
        <row r="273">
          <cell r="D273">
            <v>70000</v>
          </cell>
          <cell r="E273">
            <v>56483.8</v>
          </cell>
        </row>
        <row r="274">
          <cell r="D274">
            <v>10000</v>
          </cell>
          <cell r="E274">
            <v>0</v>
          </cell>
        </row>
        <row r="275">
          <cell r="D275">
            <v>10000</v>
          </cell>
          <cell r="E275">
            <v>10000</v>
          </cell>
        </row>
        <row r="277">
          <cell r="D277">
            <v>140000</v>
          </cell>
          <cell r="E277">
            <v>76583.8</v>
          </cell>
        </row>
        <row r="278">
          <cell r="D278">
            <v>60000</v>
          </cell>
          <cell r="E278">
            <v>41788.85</v>
          </cell>
        </row>
        <row r="279">
          <cell r="D279">
            <v>30000</v>
          </cell>
          <cell r="E279">
            <v>9000</v>
          </cell>
        </row>
        <row r="280">
          <cell r="D280">
            <v>90000</v>
          </cell>
          <cell r="E280">
            <v>50788.85</v>
          </cell>
        </row>
        <row r="282">
          <cell r="D282">
            <v>30000</v>
          </cell>
          <cell r="E282">
            <v>27568</v>
          </cell>
        </row>
        <row r="283">
          <cell r="D283">
            <v>5000</v>
          </cell>
          <cell r="E283">
            <v>0</v>
          </cell>
        </row>
        <row r="284">
          <cell r="D284">
            <v>0</v>
          </cell>
        </row>
        <row r="285">
          <cell r="D285">
            <v>10000</v>
          </cell>
          <cell r="E285">
            <v>10000</v>
          </cell>
        </row>
        <row r="286">
          <cell r="D286">
            <v>45000</v>
          </cell>
          <cell r="E286">
            <v>37568</v>
          </cell>
        </row>
        <row r="287">
          <cell r="D287">
            <v>911000</v>
          </cell>
        </row>
        <row r="289">
          <cell r="D289">
            <v>911000</v>
          </cell>
          <cell r="E289">
            <v>804553.36</v>
          </cell>
        </row>
        <row r="291">
          <cell r="D291">
            <v>10000</v>
          </cell>
          <cell r="E291">
            <v>0</v>
          </cell>
        </row>
        <row r="292">
          <cell r="D292">
            <v>51640</v>
          </cell>
          <cell r="E292">
            <v>40300</v>
          </cell>
        </row>
        <row r="293">
          <cell r="D293">
            <v>10000</v>
          </cell>
          <cell r="E293">
            <v>9950</v>
          </cell>
        </row>
        <row r="294">
          <cell r="D294">
            <v>71640</v>
          </cell>
          <cell r="E294">
            <v>50250</v>
          </cell>
          <cell r="I294">
            <v>0</v>
          </cell>
        </row>
        <row r="296">
          <cell r="D296">
            <v>20000</v>
          </cell>
          <cell r="E296">
            <v>0</v>
          </cell>
        </row>
        <row r="297">
          <cell r="D297">
            <v>10000</v>
          </cell>
          <cell r="E297">
            <v>10000</v>
          </cell>
        </row>
        <row r="298">
          <cell r="D298">
            <v>30000</v>
          </cell>
          <cell r="E298">
            <v>10000</v>
          </cell>
        </row>
        <row r="300">
          <cell r="D300">
            <v>9000</v>
          </cell>
          <cell r="E300">
            <v>0</v>
          </cell>
        </row>
        <row r="302">
          <cell r="D302">
            <v>9000</v>
          </cell>
          <cell r="E302">
            <v>0</v>
          </cell>
        </row>
        <row r="303">
          <cell r="D303">
            <v>1937240</v>
          </cell>
        </row>
        <row r="305">
          <cell r="D305">
            <v>350280</v>
          </cell>
          <cell r="E305">
            <v>220411.98</v>
          </cell>
        </row>
        <row r="306">
          <cell r="D306">
            <v>20000</v>
          </cell>
          <cell r="E306">
            <v>7668.72</v>
          </cell>
        </row>
        <row r="307">
          <cell r="D307">
            <v>15000</v>
          </cell>
          <cell r="E307">
            <v>2781.47</v>
          </cell>
        </row>
        <row r="308">
          <cell r="D308">
            <v>20000</v>
          </cell>
          <cell r="E308">
            <v>7198</v>
          </cell>
        </row>
        <row r="309">
          <cell r="D309">
            <v>105000</v>
          </cell>
          <cell r="E309">
            <v>101930.4</v>
          </cell>
        </row>
        <row r="310">
          <cell r="D310">
            <v>510280</v>
          </cell>
          <cell r="E310">
            <v>339990.57</v>
          </cell>
        </row>
        <row r="312">
          <cell r="D312">
            <v>40000</v>
          </cell>
          <cell r="E312">
            <v>17104.88</v>
          </cell>
        </row>
        <row r="313">
          <cell r="D313">
            <v>20000</v>
          </cell>
          <cell r="E313">
            <v>5738.41</v>
          </cell>
        </row>
        <row r="315">
          <cell r="D315">
            <v>60000</v>
          </cell>
          <cell r="E315">
            <v>22843.29</v>
          </cell>
        </row>
        <row r="316">
          <cell r="D316">
            <v>570280</v>
          </cell>
        </row>
        <row r="321">
          <cell r="D321">
            <v>35000</v>
          </cell>
          <cell r="E321">
            <v>27000</v>
          </cell>
        </row>
        <row r="323">
          <cell r="D323">
            <v>32000</v>
          </cell>
          <cell r="E323">
            <v>0</v>
          </cell>
        </row>
        <row r="325">
          <cell r="D325">
            <v>32000</v>
          </cell>
          <cell r="E325">
            <v>0</v>
          </cell>
        </row>
        <row r="327">
          <cell r="D327">
            <v>636000</v>
          </cell>
          <cell r="E327">
            <v>632000</v>
          </cell>
        </row>
        <row r="328">
          <cell r="D328">
            <v>30000</v>
          </cell>
          <cell r="E328">
            <v>0</v>
          </cell>
        </row>
        <row r="330">
          <cell r="D330">
            <v>216000</v>
          </cell>
          <cell r="E330">
            <v>212000</v>
          </cell>
        </row>
        <row r="331">
          <cell r="D331">
            <v>25000</v>
          </cell>
          <cell r="E331">
            <v>0</v>
          </cell>
        </row>
        <row r="333">
          <cell r="D333">
            <v>352000</v>
          </cell>
          <cell r="E333">
            <v>345000</v>
          </cell>
        </row>
        <row r="334">
          <cell r="D334">
            <v>30000</v>
          </cell>
          <cell r="E334">
            <v>0</v>
          </cell>
        </row>
        <row r="336">
          <cell r="D336">
            <v>296000</v>
          </cell>
          <cell r="E336">
            <v>307000</v>
          </cell>
        </row>
        <row r="337">
          <cell r="D337">
            <v>25000</v>
          </cell>
          <cell r="E337">
            <v>0</v>
          </cell>
        </row>
        <row r="338">
          <cell r="D338">
            <v>1610000</v>
          </cell>
          <cell r="E338">
            <v>1496000</v>
          </cell>
        </row>
        <row r="339">
          <cell r="D339">
            <v>25000</v>
          </cell>
          <cell r="E339">
            <v>0</v>
          </cell>
        </row>
        <row r="340">
          <cell r="D340">
            <v>25000</v>
          </cell>
          <cell r="E340">
            <v>0</v>
          </cell>
        </row>
        <row r="341">
          <cell r="D341">
            <v>0</v>
          </cell>
          <cell r="E341">
            <v>0</v>
          </cell>
        </row>
        <row r="342">
          <cell r="D342">
            <v>0</v>
          </cell>
          <cell r="E342">
            <v>0</v>
          </cell>
        </row>
        <row r="344">
          <cell r="D344">
            <v>340000</v>
          </cell>
          <cell r="E344">
            <v>340000</v>
          </cell>
        </row>
        <row r="345">
          <cell r="D345">
            <v>2007000</v>
          </cell>
        </row>
        <row r="356">
          <cell r="D356">
            <v>74000</v>
          </cell>
          <cell r="E356">
            <v>71100</v>
          </cell>
        </row>
        <row r="362">
          <cell r="D362">
            <v>41500</v>
          </cell>
          <cell r="E362">
            <v>37800</v>
          </cell>
        </row>
        <row r="366">
          <cell r="D366">
            <v>49000</v>
          </cell>
          <cell r="E366">
            <v>44800</v>
          </cell>
        </row>
        <row r="371">
          <cell r="D371">
            <v>30500</v>
          </cell>
          <cell r="E371">
            <v>27900</v>
          </cell>
        </row>
        <row r="375">
          <cell r="D375">
            <v>15600</v>
          </cell>
          <cell r="E375">
            <v>14800</v>
          </cell>
        </row>
        <row r="378">
          <cell r="D378">
            <v>40000</v>
          </cell>
          <cell r="E378">
            <v>0</v>
          </cell>
        </row>
        <row r="381">
          <cell r="D381">
            <v>30000</v>
          </cell>
          <cell r="E381">
            <v>30000</v>
          </cell>
        </row>
        <row r="384">
          <cell r="D384">
            <v>50000</v>
          </cell>
          <cell r="E384">
            <v>13900</v>
          </cell>
        </row>
        <row r="387">
          <cell r="D387">
            <v>81200</v>
          </cell>
          <cell r="E387">
            <v>75960</v>
          </cell>
        </row>
        <row r="388">
          <cell r="D388">
            <v>411800</v>
          </cell>
        </row>
        <row r="390">
          <cell r="E390">
            <v>0</v>
          </cell>
        </row>
        <row r="416">
          <cell r="D416">
            <v>4320000</v>
          </cell>
          <cell r="E416">
            <v>2535700</v>
          </cell>
        </row>
        <row r="419">
          <cell r="D419">
            <v>500000</v>
          </cell>
          <cell r="E419">
            <v>0</v>
          </cell>
        </row>
        <row r="420">
          <cell r="D420">
            <v>4820000</v>
          </cell>
          <cell r="E420">
            <v>2535700</v>
          </cell>
          <cell r="L420">
            <v>0</v>
          </cell>
          <cell r="P420">
            <v>0</v>
          </cell>
          <cell r="Q420">
            <v>0</v>
          </cell>
          <cell r="R420">
            <v>0</v>
          </cell>
        </row>
      </sheetData>
      <sheetData sheetId="29">
        <row r="8">
          <cell r="F8">
            <v>14401489</v>
          </cell>
        </row>
        <row r="15">
          <cell r="D15">
            <v>16194980</v>
          </cell>
        </row>
      </sheetData>
      <sheetData sheetId="30">
        <row r="8">
          <cell r="H8">
            <v>2868085</v>
          </cell>
        </row>
        <row r="9">
          <cell r="H9">
            <v>4663117</v>
          </cell>
        </row>
        <row r="10">
          <cell r="H10">
            <v>239700</v>
          </cell>
        </row>
        <row r="11">
          <cell r="H11">
            <v>766166</v>
          </cell>
        </row>
        <row r="12">
          <cell r="H12">
            <v>468199.9</v>
          </cell>
        </row>
        <row r="13">
          <cell r="H13">
            <v>339990.57</v>
          </cell>
        </row>
        <row r="14">
          <cell r="H14">
            <v>108900</v>
          </cell>
        </row>
        <row r="15">
          <cell r="H15">
            <v>0</v>
          </cell>
        </row>
        <row r="16">
          <cell r="H16">
            <v>27000</v>
          </cell>
        </row>
        <row r="17">
          <cell r="H17">
            <v>0</v>
          </cell>
        </row>
        <row r="18">
          <cell r="D18">
            <v>12107540</v>
          </cell>
        </row>
      </sheetData>
      <sheetData sheetId="31">
        <row r="8">
          <cell r="H8">
            <v>0</v>
          </cell>
        </row>
        <row r="9">
          <cell r="H9">
            <v>0</v>
          </cell>
        </row>
        <row r="10">
          <cell r="H10">
            <v>42000</v>
          </cell>
        </row>
        <row r="11">
          <cell r="H11">
            <v>38890</v>
          </cell>
        </row>
        <row r="12">
          <cell r="H12">
            <v>30600</v>
          </cell>
        </row>
        <row r="13">
          <cell r="H13">
            <v>0</v>
          </cell>
        </row>
        <row r="14">
          <cell r="H14">
            <v>30000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D18">
            <v>345600</v>
          </cell>
        </row>
      </sheetData>
      <sheetData sheetId="32">
        <row r="8">
          <cell r="H8">
            <v>2164999</v>
          </cell>
        </row>
        <row r="9">
          <cell r="H9">
            <v>29800</v>
          </cell>
        </row>
        <row r="10">
          <cell r="H10">
            <v>981033</v>
          </cell>
        </row>
        <row r="11">
          <cell r="H11">
            <v>842121.36</v>
          </cell>
        </row>
        <row r="12">
          <cell r="H12">
            <v>22843.29</v>
          </cell>
        </row>
        <row r="13">
          <cell r="H13">
            <v>44800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1496000</v>
          </cell>
        </row>
        <row r="17">
          <cell r="D17">
            <v>7140320</v>
          </cell>
        </row>
      </sheetData>
      <sheetData sheetId="33">
        <row r="9">
          <cell r="H9">
            <v>241440</v>
          </cell>
        </row>
        <row r="10">
          <cell r="H10">
            <v>0</v>
          </cell>
        </row>
        <row r="11">
          <cell r="H11">
            <v>102012</v>
          </cell>
        </row>
        <row r="12">
          <cell r="H12">
            <v>50250</v>
          </cell>
        </row>
        <row r="13">
          <cell r="H13">
            <v>0</v>
          </cell>
        </row>
        <row r="14">
          <cell r="H14">
            <v>27900</v>
          </cell>
        </row>
        <row r="17">
          <cell r="H17">
            <v>340000</v>
          </cell>
        </row>
        <row r="18">
          <cell r="D18">
            <v>998400</v>
          </cell>
          <cell r="H18">
            <v>761602</v>
          </cell>
        </row>
      </sheetData>
      <sheetData sheetId="34">
        <row r="9">
          <cell r="G9">
            <v>935100</v>
          </cell>
        </row>
        <row r="10">
          <cell r="G10">
            <v>36000</v>
          </cell>
        </row>
        <row r="11">
          <cell r="G11">
            <v>20672</v>
          </cell>
        </row>
        <row r="12">
          <cell r="G12">
            <v>10000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8">
          <cell r="D18">
            <v>1173260</v>
          </cell>
        </row>
      </sheetData>
      <sheetData sheetId="35">
        <row r="9">
          <cell r="I9">
            <v>834964</v>
          </cell>
        </row>
        <row r="10">
          <cell r="I10">
            <v>39000</v>
          </cell>
        </row>
        <row r="11">
          <cell r="I11">
            <v>772361</v>
          </cell>
        </row>
        <row r="12">
          <cell r="I12">
            <v>127372.65</v>
          </cell>
        </row>
        <row r="13">
          <cell r="I13">
            <v>0</v>
          </cell>
        </row>
        <row r="14">
          <cell r="I14">
            <v>104660</v>
          </cell>
        </row>
        <row r="15">
          <cell r="I15">
            <v>2535700</v>
          </cell>
        </row>
        <row r="16">
          <cell r="I16">
            <v>0</v>
          </cell>
        </row>
        <row r="17">
          <cell r="I17">
            <v>0</v>
          </cell>
        </row>
        <row r="18">
          <cell r="D18">
            <v>7302100</v>
          </cell>
        </row>
      </sheetData>
      <sheetData sheetId="36">
        <row r="9">
          <cell r="G9">
            <v>0</v>
          </cell>
        </row>
        <row r="10">
          <cell r="G10">
            <v>0</v>
          </cell>
        </row>
        <row r="11">
          <cell r="G11">
            <v>43340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D18">
            <v>225000</v>
          </cell>
        </row>
      </sheetData>
      <sheetData sheetId="37">
        <row r="9">
          <cell r="G9">
            <v>0</v>
          </cell>
        </row>
        <row r="10">
          <cell r="G10">
            <v>0</v>
          </cell>
        </row>
        <row r="11">
          <cell r="G11">
            <v>44206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D18">
            <v>189520</v>
          </cell>
        </row>
      </sheetData>
      <sheetData sheetId="38">
        <row r="9">
          <cell r="G9">
            <v>140434</v>
          </cell>
        </row>
        <row r="10">
          <cell r="G10">
            <v>0</v>
          </cell>
        </row>
        <row r="11">
          <cell r="G11">
            <v>37870</v>
          </cell>
        </row>
        <row r="12">
          <cell r="G12">
            <v>0</v>
          </cell>
        </row>
        <row r="18">
          <cell r="D18">
            <v>858280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18" sqref="C18"/>
    </sheetView>
  </sheetViews>
  <sheetFormatPr defaultColWidth="46.8515625" defaultRowHeight="15"/>
  <cols>
    <col min="1" max="1" width="50.8515625" style="10" customWidth="1"/>
    <col min="2" max="2" width="9.140625" style="10" customWidth="1"/>
    <col min="3" max="3" width="16.57421875" style="266" customWidth="1"/>
    <col min="4" max="4" width="16.421875" style="10" customWidth="1"/>
    <col min="5" max="5" width="11.57421875" style="10" customWidth="1"/>
    <col min="6" max="6" width="14.421875" style="10" customWidth="1"/>
    <col min="7" max="16384" width="46.8515625" style="10" customWidth="1"/>
  </cols>
  <sheetData>
    <row r="1" spans="1:4" s="102" customFormat="1" ht="24.75">
      <c r="A1" s="618" t="s">
        <v>506</v>
      </c>
      <c r="B1" s="618"/>
      <c r="C1" s="618"/>
      <c r="D1" s="618"/>
    </row>
    <row r="2" spans="1:4" s="102" customFormat="1" ht="24.75">
      <c r="A2" s="618" t="s">
        <v>256</v>
      </c>
      <c r="B2" s="618"/>
      <c r="C2" s="618"/>
      <c r="D2" s="618"/>
    </row>
    <row r="3" spans="1:4" s="102" customFormat="1" ht="24.75">
      <c r="A3" s="618" t="s">
        <v>1070</v>
      </c>
      <c r="B3" s="618"/>
      <c r="C3" s="618"/>
      <c r="D3" s="618"/>
    </row>
    <row r="4" spans="1:4" ht="24.75">
      <c r="A4" s="37" t="s">
        <v>251</v>
      </c>
      <c r="B4" s="37" t="s">
        <v>252</v>
      </c>
      <c r="C4" s="37" t="s">
        <v>249</v>
      </c>
      <c r="D4" s="37" t="s">
        <v>250</v>
      </c>
    </row>
    <row r="5" spans="1:4" ht="24.75">
      <c r="A5" s="89" t="s">
        <v>257</v>
      </c>
      <c r="B5" s="90" t="s">
        <v>258</v>
      </c>
      <c r="C5" s="91">
        <v>0</v>
      </c>
      <c r="D5" s="89"/>
    </row>
    <row r="6" spans="1:4" ht="24.75">
      <c r="A6" s="38" t="s">
        <v>437</v>
      </c>
      <c r="B6" s="92" t="s">
        <v>253</v>
      </c>
      <c r="C6" s="100">
        <v>3342.95</v>
      </c>
      <c r="D6" s="93"/>
    </row>
    <row r="7" spans="1:4" ht="24.75">
      <c r="A7" s="38" t="s">
        <v>438</v>
      </c>
      <c r="B7" s="92" t="s">
        <v>253</v>
      </c>
      <c r="C7" s="100">
        <v>0</v>
      </c>
      <c r="D7" s="93"/>
    </row>
    <row r="8" spans="1:4" ht="24.75">
      <c r="A8" s="38" t="s">
        <v>439</v>
      </c>
      <c r="B8" s="92" t="s">
        <v>253</v>
      </c>
      <c r="C8" s="100">
        <v>3494384.85</v>
      </c>
      <c r="D8" s="93"/>
    </row>
    <row r="9" spans="1:6" ht="24.75">
      <c r="A9" s="38" t="s">
        <v>440</v>
      </c>
      <c r="B9" s="92" t="s">
        <v>254</v>
      </c>
      <c r="C9" s="100">
        <v>0</v>
      </c>
      <c r="D9" s="93"/>
      <c r="F9" s="11">
        <f>C6+C7+C8+C9+C10+C11+C12+C13+C14</f>
        <v>20483870.01</v>
      </c>
    </row>
    <row r="10" spans="1:4" ht="24.75">
      <c r="A10" s="38" t="s">
        <v>441</v>
      </c>
      <c r="B10" s="92" t="s">
        <v>254</v>
      </c>
      <c r="C10" s="93">
        <f>เงินฝากธนาคาร!D12</f>
        <v>0</v>
      </c>
      <c r="D10" s="93"/>
    </row>
    <row r="11" spans="1:4" s="26" customFormat="1" ht="24.75">
      <c r="A11" s="38" t="s">
        <v>442</v>
      </c>
      <c r="B11" s="92" t="s">
        <v>254</v>
      </c>
      <c r="C11" s="93">
        <f>เงินฝากธนาคาร!D13</f>
        <v>0</v>
      </c>
      <c r="D11" s="41"/>
    </row>
    <row r="12" spans="1:4" s="26" customFormat="1" ht="24.75">
      <c r="A12" s="38" t="s">
        <v>443</v>
      </c>
      <c r="B12" s="92" t="s">
        <v>253</v>
      </c>
      <c r="C12" s="100">
        <v>54285.8</v>
      </c>
      <c r="D12" s="41"/>
    </row>
    <row r="13" spans="1:4" s="26" customFormat="1" ht="24.75">
      <c r="A13" s="38" t="s">
        <v>444</v>
      </c>
      <c r="B13" s="92" t="s">
        <v>253</v>
      </c>
      <c r="C13" s="100">
        <v>16887900.34</v>
      </c>
      <c r="D13" s="41"/>
    </row>
    <row r="14" spans="1:4" s="26" customFormat="1" ht="24.75">
      <c r="A14" s="38" t="s">
        <v>445</v>
      </c>
      <c r="B14" s="92" t="s">
        <v>253</v>
      </c>
      <c r="C14" s="100">
        <v>43956.07</v>
      </c>
      <c r="D14" s="41"/>
    </row>
    <row r="15" spans="1:6" s="26" customFormat="1" ht="24.75">
      <c r="A15" s="38" t="s">
        <v>446</v>
      </c>
      <c r="B15" s="92" t="s">
        <v>254</v>
      </c>
      <c r="C15" s="100">
        <f>เงินฝากธนาคาร!D17</f>
        <v>0</v>
      </c>
      <c r="D15" s="41"/>
      <c r="F15" s="361"/>
    </row>
    <row r="16" spans="1:6" s="26" customFormat="1" ht="24.75">
      <c r="A16" s="38" t="s">
        <v>664</v>
      </c>
      <c r="B16" s="92" t="s">
        <v>561</v>
      </c>
      <c r="C16" s="100">
        <v>10115000</v>
      </c>
      <c r="D16" s="41"/>
      <c r="F16" s="361"/>
    </row>
    <row r="17" spans="1:6" ht="24.75">
      <c r="A17" s="38" t="s">
        <v>8</v>
      </c>
      <c r="B17" s="90" t="s">
        <v>255</v>
      </c>
      <c r="C17" s="100">
        <v>53419.68</v>
      </c>
      <c r="D17" s="93"/>
      <c r="F17" s="361"/>
    </row>
    <row r="18" spans="1:6" ht="24.75">
      <c r="A18" s="38" t="s">
        <v>665</v>
      </c>
      <c r="B18" s="90" t="s">
        <v>562</v>
      </c>
      <c r="C18" s="100">
        <v>13518.75</v>
      </c>
      <c r="D18" s="93"/>
      <c r="F18" s="27"/>
    </row>
    <row r="19" spans="1:6" ht="24.75">
      <c r="A19" s="38" t="s">
        <v>457</v>
      </c>
      <c r="B19" s="90"/>
      <c r="C19" s="100">
        <v>1727584</v>
      </c>
      <c r="D19" s="93"/>
      <c r="F19" s="27"/>
    </row>
    <row r="20" spans="1:6" ht="24.75">
      <c r="A20" s="38" t="s">
        <v>7</v>
      </c>
      <c r="B20" s="90"/>
      <c r="C20" s="100">
        <v>42400</v>
      </c>
      <c r="D20" s="93"/>
      <c r="F20" s="27"/>
    </row>
    <row r="21" spans="1:6" ht="24.75">
      <c r="A21" s="38" t="s">
        <v>103</v>
      </c>
      <c r="B21" s="90"/>
      <c r="C21" s="100">
        <v>42400</v>
      </c>
      <c r="D21" s="100"/>
      <c r="F21" s="27"/>
    </row>
    <row r="22" spans="1:4" ht="24.75">
      <c r="A22" s="38" t="s">
        <v>34</v>
      </c>
      <c r="B22" s="90"/>
      <c r="C22" s="93"/>
      <c r="D22" s="100">
        <v>13915493.04</v>
      </c>
    </row>
    <row r="23" spans="1:4" ht="24.75">
      <c r="A23" s="38" t="s">
        <v>35</v>
      </c>
      <c r="B23" s="90"/>
      <c r="C23" s="93"/>
      <c r="D23" s="100">
        <v>14700627.85</v>
      </c>
    </row>
    <row r="24" spans="1:6" ht="24.75">
      <c r="A24" s="38" t="s">
        <v>259</v>
      </c>
      <c r="B24" s="90"/>
      <c r="C24" s="93"/>
      <c r="D24" s="100">
        <v>2380371.55</v>
      </c>
      <c r="E24" s="26"/>
      <c r="F24" s="361">
        <v>6400.5</v>
      </c>
    </row>
    <row r="25" spans="1:6" ht="24.75">
      <c r="A25" s="38" t="s">
        <v>260</v>
      </c>
      <c r="B25" s="90"/>
      <c r="C25" s="93"/>
      <c r="D25" s="100">
        <v>1439300</v>
      </c>
      <c r="F25" s="361">
        <v>13210.98</v>
      </c>
    </row>
    <row r="26" spans="1:6" ht="24.75">
      <c r="A26" s="38" t="s">
        <v>104</v>
      </c>
      <c r="B26" s="90"/>
      <c r="C26" s="93"/>
      <c r="D26" s="100">
        <v>42400</v>
      </c>
      <c r="F26" s="361">
        <v>556720</v>
      </c>
    </row>
    <row r="27" spans="1:6" ht="24.75">
      <c r="A27" s="38"/>
      <c r="B27" s="90"/>
      <c r="C27" s="94">
        <f>SUM(C5:C26)</f>
        <v>32478192.44</v>
      </c>
      <c r="D27" s="94">
        <f>SUM(D22:D26)</f>
        <v>32478192.44</v>
      </c>
      <c r="F27" s="27">
        <v>1771540.07</v>
      </c>
    </row>
    <row r="28" spans="1:6" ht="20.25" customHeight="1">
      <c r="A28" s="65"/>
      <c r="B28" s="95"/>
      <c r="C28" s="65"/>
      <c r="D28" s="65"/>
      <c r="F28" s="29">
        <v>32500</v>
      </c>
    </row>
    <row r="29" spans="1:6" ht="25.5" thickBot="1">
      <c r="A29" s="203" t="s">
        <v>684</v>
      </c>
      <c r="B29" s="65"/>
      <c r="C29" s="65"/>
      <c r="D29" s="65"/>
      <c r="F29" s="374">
        <f>SUM(F24:F28)</f>
        <v>2380371.55</v>
      </c>
    </row>
    <row r="30" spans="1:4" ht="9.75" customHeight="1" thickTop="1">
      <c r="A30" s="65"/>
      <c r="B30" s="65"/>
      <c r="C30" s="65"/>
      <c r="D30" s="96"/>
    </row>
    <row r="31" spans="1:4" ht="24.75">
      <c r="A31" s="65" t="s">
        <v>514</v>
      </c>
      <c r="B31" s="65"/>
      <c r="C31" s="65"/>
      <c r="D31" s="96"/>
    </row>
    <row r="32" spans="1:4" ht="11.25" customHeight="1">
      <c r="A32" s="65"/>
      <c r="B32" s="65"/>
      <c r="C32" s="65"/>
      <c r="D32" s="96"/>
    </row>
    <row r="33" spans="1:4" ht="18.75" customHeight="1">
      <c r="A33" s="65" t="s">
        <v>683</v>
      </c>
      <c r="B33" s="65"/>
      <c r="C33" s="65"/>
      <c r="D33" s="96"/>
    </row>
    <row r="34" spans="1:4" ht="24.75">
      <c r="A34" s="65"/>
      <c r="B34" s="65"/>
      <c r="C34" s="65"/>
      <c r="D34" s="65"/>
    </row>
  </sheetData>
  <sheetProtection/>
  <mergeCells count="3">
    <mergeCell ref="A1:D1"/>
    <mergeCell ref="A2:D2"/>
    <mergeCell ref="A3:D3"/>
  </mergeCells>
  <printOptions horizontalCentered="1"/>
  <pageMargins left="0.27" right="0" top="0.33" bottom="0" header="0.2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selection activeCell="I12" sqref="I12"/>
    </sheetView>
  </sheetViews>
  <sheetFormatPr defaultColWidth="9.140625" defaultRowHeight="15"/>
  <cols>
    <col min="1" max="1" width="23.7109375" style="26" customWidth="1"/>
    <col min="2" max="2" width="32.57421875" style="26" customWidth="1"/>
    <col min="3" max="3" width="11.00390625" style="26" customWidth="1"/>
    <col min="4" max="4" width="11.421875" style="26" customWidth="1"/>
    <col min="5" max="5" width="11.57421875" style="26" customWidth="1"/>
    <col min="6" max="16384" width="9.00390625" style="26" customWidth="1"/>
  </cols>
  <sheetData>
    <row r="1" spans="1:5" s="118" customFormat="1" ht="24.75">
      <c r="A1" s="670" t="s">
        <v>447</v>
      </c>
      <c r="B1" s="671"/>
      <c r="C1" s="671"/>
      <c r="D1" s="671"/>
      <c r="E1" s="671"/>
    </row>
    <row r="2" spans="1:5" s="118" customFormat="1" ht="24.75">
      <c r="A2" s="670" t="s">
        <v>62</v>
      </c>
      <c r="B2" s="671"/>
      <c r="C2" s="671"/>
      <c r="D2" s="671"/>
      <c r="E2" s="671"/>
    </row>
    <row r="3" spans="1:5" s="118" customFormat="1" ht="24.75">
      <c r="A3" s="670" t="s">
        <v>728</v>
      </c>
      <c r="B3" s="671"/>
      <c r="C3" s="671"/>
      <c r="D3" s="671"/>
      <c r="E3" s="671"/>
    </row>
    <row r="4" s="118" customFormat="1" ht="24.75">
      <c r="A4" s="422"/>
    </row>
    <row r="5" s="118" customFormat="1" ht="24.75"/>
    <row r="6" spans="1:5" s="118" customFormat="1" ht="24.75">
      <c r="A6" s="422" t="s">
        <v>909</v>
      </c>
      <c r="D6" s="426" t="s">
        <v>879</v>
      </c>
      <c r="E6" s="426" t="s">
        <v>880</v>
      </c>
    </row>
    <row r="7" spans="2:5" s="118" customFormat="1" ht="24.75">
      <c r="B7" s="118" t="s">
        <v>910</v>
      </c>
      <c r="D7" s="141">
        <v>13518.75</v>
      </c>
      <c r="E7" s="141">
        <v>25518.75</v>
      </c>
    </row>
    <row r="8" spans="2:4" s="118" customFormat="1" ht="24.75">
      <c r="B8" s="118" t="s">
        <v>911</v>
      </c>
      <c r="D8" s="141"/>
    </row>
    <row r="9" spans="2:5" s="118" customFormat="1" ht="25.5" thickBot="1">
      <c r="B9" s="427" t="s">
        <v>60</v>
      </c>
      <c r="D9" s="428">
        <f>SUM(D7:D8)</f>
        <v>13518.75</v>
      </c>
      <c r="E9" s="429">
        <f>SUM(E7:E8)</f>
        <v>25518.75</v>
      </c>
    </row>
    <row r="10" spans="2:5" s="118" customFormat="1" ht="25.5" thickTop="1">
      <c r="B10" s="427"/>
      <c r="D10" s="613"/>
      <c r="E10" s="614"/>
    </row>
    <row r="11" s="118" customFormat="1" ht="24.75"/>
    <row r="12" spans="1:5" s="118" customFormat="1" ht="24.75">
      <c r="A12" s="422" t="s">
        <v>1132</v>
      </c>
      <c r="D12" s="426">
        <v>2561</v>
      </c>
      <c r="E12" s="426">
        <v>2560</v>
      </c>
    </row>
    <row r="13" s="118" customFormat="1" ht="24.75">
      <c r="B13" s="118" t="s">
        <v>912</v>
      </c>
    </row>
    <row r="14" s="118" customFormat="1" ht="24.75">
      <c r="B14" s="118" t="s">
        <v>903</v>
      </c>
    </row>
    <row r="15" spans="2:5" s="118" customFormat="1" ht="25.5" thickBot="1">
      <c r="B15" s="427" t="s">
        <v>60</v>
      </c>
      <c r="D15" s="430"/>
      <c r="E15" s="430"/>
    </row>
    <row r="16" s="118" customFormat="1" ht="25.5" thickTop="1"/>
  </sheetData>
  <sheetProtection/>
  <mergeCells count="3">
    <mergeCell ref="A1:E1"/>
    <mergeCell ref="A2:E2"/>
    <mergeCell ref="A3:E3"/>
  </mergeCells>
  <printOptions/>
  <pageMargins left="0.4724409448818898" right="0.1968503937007874" top="0.68" bottom="0.1968503937007874" header="0.1968503937007874" footer="0.2362204724409449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23.7109375" style="26" customWidth="1"/>
    <col min="2" max="2" width="32.57421875" style="26" customWidth="1"/>
    <col min="3" max="3" width="6.140625" style="26" customWidth="1"/>
    <col min="4" max="4" width="11.421875" style="26" customWidth="1"/>
    <col min="5" max="5" width="11.57421875" style="26" customWidth="1"/>
    <col min="6" max="16384" width="9.00390625" style="26" customWidth="1"/>
  </cols>
  <sheetData>
    <row r="1" spans="1:5" ht="24.75">
      <c r="A1" s="659" t="s">
        <v>447</v>
      </c>
      <c r="B1" s="660"/>
      <c r="C1" s="660"/>
      <c r="D1" s="660"/>
      <c r="E1" s="660"/>
    </row>
    <row r="2" spans="1:5" ht="24.75">
      <c r="A2" s="659" t="s">
        <v>62</v>
      </c>
      <c r="B2" s="660"/>
      <c r="C2" s="660"/>
      <c r="D2" s="660"/>
      <c r="E2" s="660"/>
    </row>
    <row r="3" spans="1:5" ht="24.75">
      <c r="A3" s="659" t="s">
        <v>728</v>
      </c>
      <c r="B3" s="660"/>
      <c r="C3" s="660"/>
      <c r="D3" s="660"/>
      <c r="E3" s="660"/>
    </row>
    <row r="5" ht="24.75">
      <c r="A5" s="28" t="s">
        <v>913</v>
      </c>
    </row>
    <row r="6" ht="24.75">
      <c r="A6" s="315" t="s">
        <v>879</v>
      </c>
    </row>
    <row r="7" spans="1:5" ht="24.75">
      <c r="A7" s="30" t="s">
        <v>905</v>
      </c>
      <c r="B7" s="666" t="s">
        <v>906</v>
      </c>
      <c r="C7" s="666"/>
      <c r="D7" s="666" t="s">
        <v>43</v>
      </c>
      <c r="E7" s="666"/>
    </row>
    <row r="8" spans="1:5" ht="24.75">
      <c r="A8" s="312"/>
      <c r="B8" s="672"/>
      <c r="C8" s="672"/>
      <c r="D8" s="672"/>
      <c r="E8" s="672"/>
    </row>
    <row r="9" spans="1:5" ht="24.75">
      <c r="A9" s="311"/>
      <c r="B9" s="673"/>
      <c r="C9" s="673"/>
      <c r="D9" s="673"/>
      <c r="E9" s="673"/>
    </row>
    <row r="10" spans="1:5" ht="24.75">
      <c r="A10" s="667" t="s">
        <v>60</v>
      </c>
      <c r="B10" s="668"/>
      <c r="C10" s="669"/>
      <c r="D10" s="674"/>
      <c r="E10" s="675"/>
    </row>
    <row r="12" ht="24.75">
      <c r="A12" s="315" t="s">
        <v>880</v>
      </c>
    </row>
    <row r="13" spans="1:5" ht="24.75">
      <c r="A13" s="30" t="s">
        <v>905</v>
      </c>
      <c r="B13" s="666" t="s">
        <v>906</v>
      </c>
      <c r="C13" s="666"/>
      <c r="D13" s="666" t="s">
        <v>43</v>
      </c>
      <c r="E13" s="666"/>
    </row>
    <row r="14" spans="1:5" ht="24.75">
      <c r="A14" s="312"/>
      <c r="B14" s="672"/>
      <c r="C14" s="672"/>
      <c r="D14" s="672"/>
      <c r="E14" s="672"/>
    </row>
    <row r="15" spans="1:5" ht="24.75">
      <c r="A15" s="311"/>
      <c r="B15" s="673"/>
      <c r="C15" s="673"/>
      <c r="D15" s="673"/>
      <c r="E15" s="673"/>
    </row>
    <row r="16" spans="1:5" ht="24.75">
      <c r="A16" s="667" t="s">
        <v>60</v>
      </c>
      <c r="B16" s="668"/>
      <c r="C16" s="669"/>
      <c r="D16" s="674"/>
      <c r="E16" s="675"/>
    </row>
    <row r="17" spans="1:5" ht="24.75">
      <c r="A17" s="321"/>
      <c r="B17" s="321"/>
      <c r="C17" s="321"/>
      <c r="D17" s="615"/>
      <c r="E17" s="615"/>
    </row>
    <row r="19" spans="1:5" ht="24.75">
      <c r="A19" s="28" t="s">
        <v>916</v>
      </c>
      <c r="D19" s="426" t="s">
        <v>879</v>
      </c>
      <c r="E19" s="426" t="s">
        <v>880</v>
      </c>
    </row>
    <row r="20" spans="2:5" ht="24.75">
      <c r="B20" s="26" t="s">
        <v>914</v>
      </c>
      <c r="E20" s="27"/>
    </row>
    <row r="21" ht="24.75">
      <c r="B21" s="26" t="s">
        <v>915</v>
      </c>
    </row>
    <row r="22" ht="24.75">
      <c r="B22" s="26" t="s">
        <v>903</v>
      </c>
    </row>
    <row r="23" spans="2:5" ht="25.5" thickBot="1">
      <c r="B23" s="314" t="s">
        <v>60</v>
      </c>
      <c r="D23" s="313"/>
      <c r="E23" s="316">
        <f>SUM(E20:E21)</f>
        <v>0</v>
      </c>
    </row>
    <row r="24" ht="25.5" thickTop="1"/>
  </sheetData>
  <sheetProtection/>
  <mergeCells count="19">
    <mergeCell ref="A1:E1"/>
    <mergeCell ref="A2:E2"/>
    <mergeCell ref="A3:E3"/>
    <mergeCell ref="B7:C7"/>
    <mergeCell ref="D7:E7"/>
    <mergeCell ref="B8:C8"/>
    <mergeCell ref="D8:E8"/>
    <mergeCell ref="B9:C9"/>
    <mergeCell ref="D9:E9"/>
    <mergeCell ref="A10:C10"/>
    <mergeCell ref="D10:E10"/>
    <mergeCell ref="B13:C13"/>
    <mergeCell ref="D13:E13"/>
    <mergeCell ref="B14:C14"/>
    <mergeCell ref="D14:E14"/>
    <mergeCell ref="B15:C15"/>
    <mergeCell ref="D15:E15"/>
    <mergeCell ref="A16:C16"/>
    <mergeCell ref="D16:E16"/>
  </mergeCells>
  <printOptions/>
  <pageMargins left="0.53" right="0.2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11.140625" style="1" customWidth="1"/>
    <col min="2" max="2" width="13.421875" style="1" customWidth="1"/>
    <col min="3" max="3" width="14.140625" style="1" customWidth="1"/>
    <col min="4" max="4" width="12.421875" style="1" customWidth="1"/>
    <col min="5" max="5" width="23.421875" style="1" customWidth="1"/>
    <col min="6" max="6" width="53.7109375" style="1" customWidth="1"/>
    <col min="7" max="7" width="13.57421875" style="194" customWidth="1"/>
    <col min="8" max="16384" width="9.00390625" style="1" customWidth="1"/>
  </cols>
  <sheetData>
    <row r="1" spans="1:7" ht="24.75">
      <c r="A1" s="670" t="s">
        <v>451</v>
      </c>
      <c r="B1" s="670"/>
      <c r="C1" s="670"/>
      <c r="D1" s="671"/>
      <c r="E1" s="671"/>
      <c r="F1" s="671"/>
      <c r="G1" s="671"/>
    </row>
    <row r="2" spans="1:7" ht="24.75">
      <c r="A2" s="670" t="s">
        <v>62</v>
      </c>
      <c r="B2" s="670"/>
      <c r="C2" s="670"/>
      <c r="D2" s="671"/>
      <c r="E2" s="671"/>
      <c r="F2" s="671"/>
      <c r="G2" s="671"/>
    </row>
    <row r="3" spans="1:7" ht="24.75">
      <c r="A3" s="670" t="s">
        <v>728</v>
      </c>
      <c r="B3" s="670"/>
      <c r="C3" s="670"/>
      <c r="D3" s="671"/>
      <c r="E3" s="671"/>
      <c r="F3" s="671"/>
      <c r="G3" s="671"/>
    </row>
    <row r="4" spans="1:7" ht="24.75">
      <c r="A4" s="26"/>
      <c r="B4" s="26"/>
      <c r="C4" s="26"/>
      <c r="D4" s="26"/>
      <c r="E4" s="26"/>
      <c r="F4" s="26"/>
      <c r="G4" s="191"/>
    </row>
    <row r="5" spans="1:7" ht="24.75">
      <c r="A5" s="28" t="s">
        <v>917</v>
      </c>
      <c r="B5" s="28"/>
      <c r="C5" s="26"/>
      <c r="D5" s="26"/>
      <c r="E5" s="26"/>
      <c r="F5" s="26"/>
      <c r="G5" s="191"/>
    </row>
    <row r="6" spans="1:7" ht="24.75">
      <c r="A6" s="28" t="s">
        <v>879</v>
      </c>
      <c r="B6" s="26"/>
      <c r="C6" s="26"/>
      <c r="D6" s="26"/>
      <c r="E6" s="26"/>
      <c r="F6" s="26"/>
      <c r="G6" s="191"/>
    </row>
    <row r="7" spans="1:7" ht="24.75">
      <c r="A7" s="303" t="s">
        <v>74</v>
      </c>
      <c r="B7" s="303" t="s">
        <v>75</v>
      </c>
      <c r="C7" s="303" t="s">
        <v>76</v>
      </c>
      <c r="D7" s="303" t="s">
        <v>77</v>
      </c>
      <c r="E7" s="303" t="s">
        <v>78</v>
      </c>
      <c r="F7" s="303" t="s">
        <v>79</v>
      </c>
      <c r="G7" s="192" t="s">
        <v>43</v>
      </c>
    </row>
    <row r="8" spans="1:7" ht="24.75">
      <c r="A8" s="196" t="s">
        <v>80</v>
      </c>
      <c r="B8" s="185" t="s">
        <v>113</v>
      </c>
      <c r="C8" s="185" t="s">
        <v>113</v>
      </c>
      <c r="D8" s="196" t="s">
        <v>113</v>
      </c>
      <c r="E8" s="196" t="s">
        <v>656</v>
      </c>
      <c r="F8" s="185" t="s">
        <v>1074</v>
      </c>
      <c r="G8" s="193">
        <v>82500</v>
      </c>
    </row>
    <row r="9" spans="1:7" ht="24.75">
      <c r="A9" s="196" t="s">
        <v>80</v>
      </c>
      <c r="B9" s="185" t="s">
        <v>113</v>
      </c>
      <c r="C9" s="185" t="s">
        <v>113</v>
      </c>
      <c r="D9" s="196" t="s">
        <v>113</v>
      </c>
      <c r="E9" s="196" t="s">
        <v>656</v>
      </c>
      <c r="F9" s="185" t="s">
        <v>1075</v>
      </c>
      <c r="G9" s="193">
        <v>19700</v>
      </c>
    </row>
    <row r="10" spans="1:7" ht="24.75">
      <c r="A10" s="186" t="s">
        <v>80</v>
      </c>
      <c r="B10" s="186" t="s">
        <v>81</v>
      </c>
      <c r="C10" s="186" t="s">
        <v>81</v>
      </c>
      <c r="D10" s="186" t="s">
        <v>456</v>
      </c>
      <c r="E10" s="186" t="s">
        <v>654</v>
      </c>
      <c r="F10" s="186" t="s">
        <v>1076</v>
      </c>
      <c r="G10" s="190">
        <v>9000</v>
      </c>
    </row>
    <row r="11" spans="1:9" ht="24.75">
      <c r="A11" s="186" t="s">
        <v>80</v>
      </c>
      <c r="B11" s="186" t="s">
        <v>81</v>
      </c>
      <c r="C11" s="186" t="s">
        <v>81</v>
      </c>
      <c r="D11" s="186" t="s">
        <v>456</v>
      </c>
      <c r="E11" s="186" t="s">
        <v>654</v>
      </c>
      <c r="F11" s="186" t="s">
        <v>1077</v>
      </c>
      <c r="G11" s="190">
        <v>9000</v>
      </c>
      <c r="I11" s="2"/>
    </row>
    <row r="12" spans="1:7" ht="24.75">
      <c r="A12" s="186" t="s">
        <v>80</v>
      </c>
      <c r="B12" s="186" t="s">
        <v>84</v>
      </c>
      <c r="C12" s="186" t="s">
        <v>85</v>
      </c>
      <c r="D12" s="186" t="s">
        <v>456</v>
      </c>
      <c r="E12" s="186" t="s">
        <v>654</v>
      </c>
      <c r="F12" s="186" t="s">
        <v>1078</v>
      </c>
      <c r="G12" s="190">
        <v>13000</v>
      </c>
    </row>
    <row r="13" spans="1:7" ht="24.75">
      <c r="A13" s="186"/>
      <c r="B13" s="186"/>
      <c r="C13" s="186" t="s">
        <v>86</v>
      </c>
      <c r="D13" s="186"/>
      <c r="E13" s="186"/>
      <c r="F13" s="186"/>
      <c r="G13" s="190"/>
    </row>
    <row r="14" spans="1:7" ht="24.75">
      <c r="A14" s="186" t="s">
        <v>80</v>
      </c>
      <c r="B14" s="186" t="s">
        <v>81</v>
      </c>
      <c r="C14" s="186" t="s">
        <v>81</v>
      </c>
      <c r="D14" s="186" t="s">
        <v>456</v>
      </c>
      <c r="E14" s="186" t="s">
        <v>654</v>
      </c>
      <c r="F14" s="186" t="s">
        <v>1079</v>
      </c>
      <c r="G14" s="190">
        <v>300</v>
      </c>
    </row>
    <row r="15" spans="1:7" ht="24.75">
      <c r="A15" s="186" t="s">
        <v>80</v>
      </c>
      <c r="B15" s="186" t="s">
        <v>81</v>
      </c>
      <c r="C15" s="186" t="s">
        <v>81</v>
      </c>
      <c r="D15" s="186" t="s">
        <v>456</v>
      </c>
      <c r="E15" s="186" t="s">
        <v>654</v>
      </c>
      <c r="F15" s="186" t="s">
        <v>1080</v>
      </c>
      <c r="G15" s="190">
        <v>5100</v>
      </c>
    </row>
    <row r="16" spans="1:7" ht="24.75">
      <c r="A16" s="186"/>
      <c r="B16" s="186"/>
      <c r="C16" s="186"/>
      <c r="D16" s="186"/>
      <c r="E16" s="186"/>
      <c r="F16" s="186"/>
      <c r="G16" s="190"/>
    </row>
    <row r="17" spans="1:7" ht="24.75">
      <c r="A17" s="186" t="s">
        <v>80</v>
      </c>
      <c r="B17" s="186" t="s">
        <v>83</v>
      </c>
      <c r="C17" s="186" t="s">
        <v>452</v>
      </c>
      <c r="D17" s="186" t="s">
        <v>1115</v>
      </c>
      <c r="E17" s="392" t="s">
        <v>1094</v>
      </c>
      <c r="F17" s="186" t="s">
        <v>1081</v>
      </c>
      <c r="G17" s="190">
        <v>100000</v>
      </c>
    </row>
    <row r="18" spans="1:7" ht="24.75">
      <c r="A18" s="188"/>
      <c r="B18" s="188"/>
      <c r="C18" s="188" t="s">
        <v>453</v>
      </c>
      <c r="D18" s="188" t="s">
        <v>1116</v>
      </c>
      <c r="E18" s="188"/>
      <c r="F18" s="186" t="s">
        <v>1082</v>
      </c>
      <c r="G18" s="190">
        <v>89300</v>
      </c>
    </row>
    <row r="19" spans="1:7" ht="24.75">
      <c r="A19" s="188"/>
      <c r="B19" s="188"/>
      <c r="C19" s="188"/>
      <c r="D19" s="188"/>
      <c r="E19" s="188"/>
      <c r="F19" s="186" t="s">
        <v>1083</v>
      </c>
      <c r="G19" s="190">
        <v>98700</v>
      </c>
    </row>
    <row r="20" spans="1:7" ht="24.75">
      <c r="A20" s="188"/>
      <c r="B20" s="188"/>
      <c r="C20" s="188"/>
      <c r="D20" s="188"/>
      <c r="E20" s="188"/>
      <c r="F20" s="186" t="s">
        <v>1084</v>
      </c>
      <c r="G20" s="190">
        <v>95600</v>
      </c>
    </row>
    <row r="21" spans="1:7" ht="24.75">
      <c r="A21" s="188"/>
      <c r="B21" s="188"/>
      <c r="C21" s="188"/>
      <c r="D21" s="188"/>
      <c r="E21" s="188"/>
      <c r="F21" s="186" t="s">
        <v>1085</v>
      </c>
      <c r="G21" s="190">
        <v>100000</v>
      </c>
    </row>
    <row r="22" spans="1:7" ht="24.75">
      <c r="A22" s="188"/>
      <c r="B22" s="188"/>
      <c r="C22" s="188"/>
      <c r="D22" s="188"/>
      <c r="E22" s="188"/>
      <c r="F22" s="186" t="s">
        <v>1086</v>
      </c>
      <c r="G22" s="190">
        <v>100000</v>
      </c>
    </row>
    <row r="23" spans="1:7" ht="24.75">
      <c r="A23" s="188"/>
      <c r="B23" s="188"/>
      <c r="C23" s="188"/>
      <c r="D23" s="188"/>
      <c r="E23" s="188"/>
      <c r="F23" s="186" t="s">
        <v>1087</v>
      </c>
      <c r="G23" s="190">
        <v>96600</v>
      </c>
    </row>
    <row r="24" spans="1:7" ht="24.75">
      <c r="A24" s="188"/>
      <c r="B24" s="188"/>
      <c r="C24" s="188"/>
      <c r="D24" s="188"/>
      <c r="E24" s="188"/>
      <c r="F24" s="186" t="s">
        <v>1088</v>
      </c>
      <c r="G24" s="190">
        <v>100000</v>
      </c>
    </row>
    <row r="25" spans="1:7" ht="24.75">
      <c r="A25" s="188"/>
      <c r="B25" s="188"/>
      <c r="C25" s="188"/>
      <c r="D25" s="188"/>
      <c r="E25" s="188"/>
      <c r="F25" s="186" t="s">
        <v>1089</v>
      </c>
      <c r="G25" s="190">
        <v>100000</v>
      </c>
    </row>
    <row r="26" spans="1:7" ht="24.75">
      <c r="A26" s="188"/>
      <c r="B26" s="188"/>
      <c r="C26" s="188"/>
      <c r="D26" s="188"/>
      <c r="E26" s="188"/>
      <c r="F26" s="186" t="s">
        <v>1090</v>
      </c>
      <c r="G26" s="190">
        <v>100000</v>
      </c>
    </row>
    <row r="27" spans="1:7" ht="24.75">
      <c r="A27" s="188"/>
      <c r="B27" s="188"/>
      <c r="C27" s="188"/>
      <c r="D27" s="188"/>
      <c r="E27" s="188"/>
      <c r="F27" s="186" t="s">
        <v>1091</v>
      </c>
      <c r="G27" s="190">
        <v>99700</v>
      </c>
    </row>
    <row r="28" spans="1:7" ht="24.75">
      <c r="A28" s="188"/>
      <c r="B28" s="188"/>
      <c r="C28" s="188"/>
      <c r="D28" s="188"/>
      <c r="E28" s="188"/>
      <c r="F28" s="186" t="s">
        <v>1092</v>
      </c>
      <c r="G28" s="190">
        <v>97800</v>
      </c>
    </row>
    <row r="29" spans="1:7" ht="24.75">
      <c r="A29" s="188"/>
      <c r="B29" s="188"/>
      <c r="C29" s="188"/>
      <c r="D29" s="188"/>
      <c r="E29" s="188"/>
      <c r="F29" s="186" t="s">
        <v>1093</v>
      </c>
      <c r="G29" s="190">
        <v>96000</v>
      </c>
    </row>
    <row r="30" spans="1:7" ht="24.75">
      <c r="A30" s="188"/>
      <c r="B30" s="188"/>
      <c r="C30" s="188"/>
      <c r="D30" s="188"/>
      <c r="E30" s="188"/>
      <c r="F30" s="186"/>
      <c r="G30" s="190"/>
    </row>
    <row r="31" spans="1:7" ht="24.75">
      <c r="A31" s="186" t="s">
        <v>80</v>
      </c>
      <c r="B31" s="186" t="s">
        <v>81</v>
      </c>
      <c r="C31" s="186" t="s">
        <v>81</v>
      </c>
      <c r="D31" s="189" t="s">
        <v>118</v>
      </c>
      <c r="E31" s="186" t="s">
        <v>654</v>
      </c>
      <c r="F31" s="187" t="s">
        <v>655</v>
      </c>
      <c r="G31" s="190">
        <v>27000</v>
      </c>
    </row>
    <row r="32" spans="1:7" ht="24.75">
      <c r="A32" s="33"/>
      <c r="B32" s="33"/>
      <c r="C32" s="33"/>
      <c r="D32" s="88"/>
      <c r="E32" s="33"/>
      <c r="F32" s="171"/>
      <c r="G32" s="391"/>
    </row>
    <row r="33" spans="1:7" ht="25.5" thickBot="1">
      <c r="A33" s="676" t="s">
        <v>60</v>
      </c>
      <c r="B33" s="676"/>
      <c r="C33" s="676"/>
      <c r="D33" s="676"/>
      <c r="E33" s="676"/>
      <c r="F33" s="676"/>
      <c r="G33" s="195">
        <f>SUM(G8:G31)</f>
        <v>1439300</v>
      </c>
    </row>
    <row r="34" spans="1:7" ht="25.5" thickTop="1">
      <c r="A34" s="26"/>
      <c r="B34" s="26"/>
      <c r="C34" s="26"/>
      <c r="D34" s="26"/>
      <c r="E34" s="26"/>
      <c r="F34" s="26"/>
      <c r="G34" s="191"/>
    </row>
  </sheetData>
  <sheetProtection/>
  <mergeCells count="4">
    <mergeCell ref="A1:G1"/>
    <mergeCell ref="A2:G2"/>
    <mergeCell ref="A3:G3"/>
    <mergeCell ref="A33:F33"/>
  </mergeCells>
  <printOptions horizontalCentered="1"/>
  <pageMargins left="0.2" right="0" top="0.31496062992125984" bottom="0" header="0.31496062992125984" footer="0.3149606299212598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0.28125" style="1" customWidth="1"/>
    <col min="2" max="2" width="13.421875" style="1" customWidth="1"/>
    <col min="3" max="3" width="14.57421875" style="1" customWidth="1"/>
    <col min="4" max="4" width="15.28125" style="1" customWidth="1"/>
    <col min="5" max="5" width="23.28125" style="1" customWidth="1"/>
    <col min="6" max="6" width="41.421875" style="1" customWidth="1"/>
    <col min="7" max="7" width="14.421875" style="194" customWidth="1"/>
    <col min="8" max="16384" width="9.00390625" style="1" customWidth="1"/>
  </cols>
  <sheetData>
    <row r="1" spans="1:7" ht="24.75">
      <c r="A1" s="659" t="s">
        <v>451</v>
      </c>
      <c r="B1" s="659"/>
      <c r="C1" s="659"/>
      <c r="D1" s="660"/>
      <c r="E1" s="660"/>
      <c r="F1" s="660"/>
      <c r="G1" s="660"/>
    </row>
    <row r="2" spans="1:7" ht="24.75">
      <c r="A2" s="659" t="s">
        <v>62</v>
      </c>
      <c r="B2" s="659"/>
      <c r="C2" s="659"/>
      <c r="D2" s="660"/>
      <c r="E2" s="660"/>
      <c r="F2" s="660"/>
      <c r="G2" s="660"/>
    </row>
    <row r="3" spans="1:7" ht="24.75">
      <c r="A3" s="659" t="s">
        <v>728</v>
      </c>
      <c r="B3" s="659"/>
      <c r="C3" s="659"/>
      <c r="D3" s="660"/>
      <c r="E3" s="660"/>
      <c r="F3" s="660"/>
      <c r="G3" s="660"/>
    </row>
    <row r="4" spans="1:7" ht="24.75">
      <c r="A4" s="26"/>
      <c r="B4" s="26"/>
      <c r="C4" s="26"/>
      <c r="D4" s="26"/>
      <c r="E4" s="26"/>
      <c r="F4" s="26"/>
      <c r="G4" s="191"/>
    </row>
    <row r="5" spans="1:7" ht="24.75">
      <c r="A5" s="28" t="s">
        <v>918</v>
      </c>
      <c r="B5" s="28"/>
      <c r="C5" s="26"/>
      <c r="D5" s="26"/>
      <c r="E5" s="26"/>
      <c r="F5" s="26"/>
      <c r="G5" s="191"/>
    </row>
    <row r="6" spans="1:7" ht="24.75">
      <c r="A6" s="422" t="s">
        <v>879</v>
      </c>
      <c r="B6" s="118"/>
      <c r="C6" s="118"/>
      <c r="D6" s="118"/>
      <c r="E6" s="118"/>
      <c r="F6" s="118"/>
      <c r="G6" s="191"/>
    </row>
    <row r="7" spans="1:7" ht="24.75">
      <c r="A7" s="423" t="s">
        <v>74</v>
      </c>
      <c r="B7" s="423" t="s">
        <v>75</v>
      </c>
      <c r="C7" s="423" t="s">
        <v>76</v>
      </c>
      <c r="D7" s="423" t="s">
        <v>77</v>
      </c>
      <c r="E7" s="423" t="s">
        <v>78</v>
      </c>
      <c r="F7" s="423" t="s">
        <v>79</v>
      </c>
      <c r="G7" s="192" t="s">
        <v>43</v>
      </c>
    </row>
    <row r="8" spans="1:7" ht="24.75">
      <c r="A8" s="392"/>
      <c r="B8" s="392"/>
      <c r="C8" s="392"/>
      <c r="D8" s="392"/>
      <c r="E8" s="392"/>
      <c r="F8" s="392"/>
      <c r="G8" s="190"/>
    </row>
    <row r="9" spans="1:7" ht="24.75">
      <c r="A9" s="392"/>
      <c r="B9" s="392"/>
      <c r="C9" s="392"/>
      <c r="D9" s="392"/>
      <c r="E9" s="392"/>
      <c r="F9" s="392"/>
      <c r="G9" s="190"/>
    </row>
    <row r="10" spans="1:7" ht="24.75">
      <c r="A10" s="392"/>
      <c r="B10" s="392"/>
      <c r="C10" s="392"/>
      <c r="D10" s="392"/>
      <c r="E10" s="392"/>
      <c r="F10" s="392"/>
      <c r="G10" s="190"/>
    </row>
    <row r="11" spans="1:7" ht="24.75">
      <c r="A11" s="431"/>
      <c r="B11" s="431"/>
      <c r="C11" s="431"/>
      <c r="D11" s="431"/>
      <c r="E11" s="431"/>
      <c r="F11" s="392"/>
      <c r="G11" s="190"/>
    </row>
    <row r="12" spans="1:7" ht="24.75">
      <c r="A12" s="392"/>
      <c r="B12" s="392"/>
      <c r="C12" s="392"/>
      <c r="D12" s="432"/>
      <c r="E12" s="392"/>
      <c r="F12" s="433"/>
      <c r="G12" s="190"/>
    </row>
    <row r="13" spans="1:7" ht="25.5" thickBot="1">
      <c r="A13" s="677" t="s">
        <v>60</v>
      </c>
      <c r="B13" s="677"/>
      <c r="C13" s="677"/>
      <c r="D13" s="677"/>
      <c r="E13" s="677"/>
      <c r="F13" s="677"/>
      <c r="G13" s="195">
        <f>SUM(G8:G12)</f>
        <v>0</v>
      </c>
    </row>
    <row r="14" spans="1:7" ht="25.5" thickTop="1">
      <c r="A14" s="118"/>
      <c r="B14" s="118"/>
      <c r="C14" s="118"/>
      <c r="D14" s="118"/>
      <c r="E14" s="118"/>
      <c r="F14" s="118"/>
      <c r="G14" s="191"/>
    </row>
    <row r="15" spans="1:7" ht="24.75">
      <c r="A15" s="422" t="s">
        <v>880</v>
      </c>
      <c r="B15" s="118"/>
      <c r="C15" s="118"/>
      <c r="D15" s="118"/>
      <c r="E15" s="118"/>
      <c r="F15" s="118"/>
      <c r="G15" s="191"/>
    </row>
    <row r="16" spans="1:7" ht="24.75">
      <c r="A16" s="303" t="s">
        <v>74</v>
      </c>
      <c r="B16" s="303" t="s">
        <v>75</v>
      </c>
      <c r="C16" s="303" t="s">
        <v>76</v>
      </c>
      <c r="D16" s="303" t="s">
        <v>77</v>
      </c>
      <c r="E16" s="303" t="s">
        <v>78</v>
      </c>
      <c r="F16" s="303" t="s">
        <v>79</v>
      </c>
      <c r="G16" s="192" t="s">
        <v>43</v>
      </c>
    </row>
    <row r="17" spans="1:7" ht="24.75">
      <c r="A17" s="186"/>
      <c r="B17" s="186"/>
      <c r="C17" s="186"/>
      <c r="D17" s="186"/>
      <c r="E17" s="186"/>
      <c r="F17" s="186"/>
      <c r="G17" s="190"/>
    </row>
    <row r="18" spans="1:7" ht="24.75">
      <c r="A18" s="186"/>
      <c r="B18" s="186"/>
      <c r="C18" s="186"/>
      <c r="D18" s="186"/>
      <c r="E18" s="186"/>
      <c r="F18" s="186"/>
      <c r="G18" s="190"/>
    </row>
    <row r="19" spans="1:7" ht="24.75">
      <c r="A19" s="186"/>
      <c r="B19" s="186"/>
      <c r="C19" s="186"/>
      <c r="D19" s="186"/>
      <c r="E19" s="186"/>
      <c r="F19" s="186"/>
      <c r="G19" s="190"/>
    </row>
    <row r="20" spans="1:7" ht="24.75">
      <c r="A20" s="188"/>
      <c r="B20" s="188"/>
      <c r="C20" s="188"/>
      <c r="D20" s="188"/>
      <c r="E20" s="188"/>
      <c r="F20" s="186"/>
      <c r="G20" s="190"/>
    </row>
    <row r="21" spans="1:7" ht="24.75">
      <c r="A21" s="186"/>
      <c r="B21" s="186"/>
      <c r="C21" s="186"/>
      <c r="D21" s="189"/>
      <c r="E21" s="186"/>
      <c r="F21" s="187"/>
      <c r="G21" s="190"/>
    </row>
    <row r="22" spans="1:7" ht="25.5" thickBot="1">
      <c r="A22" s="676" t="s">
        <v>60</v>
      </c>
      <c r="B22" s="676"/>
      <c r="C22" s="676"/>
      <c r="D22" s="676"/>
      <c r="E22" s="676"/>
      <c r="F22" s="676"/>
      <c r="G22" s="195">
        <f>SUM(G17:G21)</f>
        <v>0</v>
      </c>
    </row>
    <row r="23" ht="24" thickTop="1"/>
  </sheetData>
  <sheetProtection/>
  <mergeCells count="5">
    <mergeCell ref="A1:G1"/>
    <mergeCell ref="A2:G2"/>
    <mergeCell ref="A3:G3"/>
    <mergeCell ref="A13:F13"/>
    <mergeCell ref="A22:F22"/>
  </mergeCells>
  <printOptions/>
  <pageMargins left="0.29" right="0.2" top="0.31" bottom="0.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5.421875" style="1" customWidth="1"/>
    <col min="2" max="2" width="8.421875" style="1" customWidth="1"/>
    <col min="3" max="3" width="44.8515625" style="1" customWidth="1"/>
    <col min="4" max="4" width="17.421875" style="1" customWidth="1"/>
    <col min="5" max="5" width="17.57421875" style="1" customWidth="1"/>
    <col min="6" max="16384" width="9.00390625" style="1" customWidth="1"/>
  </cols>
  <sheetData>
    <row r="1" spans="1:10" s="436" customFormat="1" ht="23.25" customHeight="1">
      <c r="A1" s="118"/>
      <c r="B1" s="618" t="s">
        <v>447</v>
      </c>
      <c r="C1" s="618"/>
      <c r="D1" s="618"/>
      <c r="E1" s="618"/>
      <c r="F1" s="434"/>
      <c r="G1" s="679"/>
      <c r="H1" s="679"/>
      <c r="I1" s="679"/>
      <c r="J1" s="680"/>
    </row>
    <row r="2" spans="1:10" s="436" customFormat="1" ht="23.25" customHeight="1">
      <c r="A2" s="118"/>
      <c r="B2" s="618" t="s">
        <v>62</v>
      </c>
      <c r="C2" s="618"/>
      <c r="D2" s="618"/>
      <c r="E2" s="618"/>
      <c r="F2" s="434"/>
      <c r="G2" s="679"/>
      <c r="H2" s="679"/>
      <c r="I2" s="679"/>
      <c r="J2" s="680"/>
    </row>
    <row r="3" spans="1:10" s="436" customFormat="1" ht="23.25" customHeight="1">
      <c r="A3" s="118"/>
      <c r="B3" s="618" t="s">
        <v>728</v>
      </c>
      <c r="C3" s="618"/>
      <c r="D3" s="618"/>
      <c r="E3" s="618"/>
      <c r="F3" s="434"/>
      <c r="G3" s="679"/>
      <c r="H3" s="679"/>
      <c r="I3" s="679"/>
      <c r="J3" s="680"/>
    </row>
    <row r="4" spans="1:10" s="436" customFormat="1" ht="23.25" customHeight="1">
      <c r="A4" s="118"/>
      <c r="B4" s="678" t="s">
        <v>919</v>
      </c>
      <c r="C4" s="678"/>
      <c r="D4" s="437"/>
      <c r="E4" s="408"/>
      <c r="F4" s="434"/>
      <c r="G4" s="435"/>
      <c r="H4" s="435"/>
      <c r="I4" s="435"/>
      <c r="J4" s="434"/>
    </row>
    <row r="5" spans="1:5" s="436" customFormat="1" ht="24.75">
      <c r="A5" s="118"/>
      <c r="B5" s="118"/>
      <c r="C5" s="118"/>
      <c r="D5" s="118"/>
      <c r="E5" s="118"/>
    </row>
    <row r="6" spans="1:5" s="436" customFormat="1" ht="24.75">
      <c r="A6" s="118"/>
      <c r="B6" s="438" t="s">
        <v>63</v>
      </c>
      <c r="C6" s="438" t="s">
        <v>64</v>
      </c>
      <c r="D6" s="438" t="s">
        <v>879</v>
      </c>
      <c r="E6" s="438" t="s">
        <v>880</v>
      </c>
    </row>
    <row r="7" spans="1:5" s="436" customFormat="1" ht="24.75">
      <c r="A7" s="118"/>
      <c r="B7" s="438">
        <v>1</v>
      </c>
      <c r="C7" s="439" t="s">
        <v>663</v>
      </c>
      <c r="D7" s="440">
        <v>6400.5</v>
      </c>
      <c r="E7" s="269">
        <v>15979.27</v>
      </c>
    </row>
    <row r="8" spans="1:5" s="436" customFormat="1" ht="24.75">
      <c r="A8" s="118"/>
      <c r="B8" s="267">
        <v>2</v>
      </c>
      <c r="C8" s="268" t="s">
        <v>91</v>
      </c>
      <c r="D8" s="269">
        <v>556720</v>
      </c>
      <c r="E8" s="269">
        <v>538720</v>
      </c>
    </row>
    <row r="9" spans="1:5" s="436" customFormat="1" ht="24.75">
      <c r="A9" s="118"/>
      <c r="B9" s="267">
        <v>3</v>
      </c>
      <c r="C9" s="268" t="s">
        <v>449</v>
      </c>
      <c r="D9" s="269">
        <v>0</v>
      </c>
      <c r="E9" s="269">
        <v>56846.7</v>
      </c>
    </row>
    <row r="10" spans="1:5" s="436" customFormat="1" ht="24.75">
      <c r="A10" s="118"/>
      <c r="B10" s="267">
        <v>4</v>
      </c>
      <c r="C10" s="268" t="s">
        <v>448</v>
      </c>
      <c r="D10" s="269">
        <v>13210.98</v>
      </c>
      <c r="E10" s="269">
        <v>42025.55</v>
      </c>
    </row>
    <row r="11" spans="1:5" s="436" customFormat="1" ht="24.75">
      <c r="A11" s="118"/>
      <c r="B11" s="267">
        <v>5</v>
      </c>
      <c r="C11" s="268" t="s">
        <v>450</v>
      </c>
      <c r="D11" s="269">
        <v>1771540.07</v>
      </c>
      <c r="E11" s="269">
        <v>1771362.85</v>
      </c>
    </row>
    <row r="12" spans="1:5" s="436" customFormat="1" ht="24.75">
      <c r="A12" s="118"/>
      <c r="B12" s="267">
        <v>6</v>
      </c>
      <c r="C12" s="268" t="s">
        <v>681</v>
      </c>
      <c r="D12" s="269">
        <v>32500</v>
      </c>
      <c r="E12" s="269">
        <v>32500</v>
      </c>
    </row>
    <row r="13" spans="1:5" s="436" customFormat="1" ht="24.75">
      <c r="A13" s="118"/>
      <c r="B13" s="267">
        <v>7</v>
      </c>
      <c r="C13" s="268" t="s">
        <v>678</v>
      </c>
      <c r="D13" s="267" t="s">
        <v>179</v>
      </c>
      <c r="E13" s="269">
        <v>39041</v>
      </c>
    </row>
    <row r="14" spans="1:5" s="436" customFormat="1" ht="24.75">
      <c r="A14" s="118"/>
      <c r="B14" s="268"/>
      <c r="C14" s="441" t="s">
        <v>60</v>
      </c>
      <c r="D14" s="442">
        <f>SUM(D7:D13)</f>
        <v>2380371.55</v>
      </c>
      <c r="E14" s="443">
        <f>SUM(E7:E13)</f>
        <v>2496475.37</v>
      </c>
    </row>
    <row r="15" spans="1:5" s="436" customFormat="1" ht="24.75">
      <c r="A15" s="118"/>
      <c r="B15" s="118"/>
      <c r="C15" s="118"/>
      <c r="D15" s="118"/>
      <c r="E15" s="118"/>
    </row>
    <row r="16" s="436" customFormat="1" ht="23.25"/>
    <row r="17" spans="1:10" s="436" customFormat="1" ht="23.25" customHeight="1">
      <c r="A17" s="118"/>
      <c r="B17" s="678" t="s">
        <v>1133</v>
      </c>
      <c r="C17" s="678"/>
      <c r="D17" s="437"/>
      <c r="E17" s="408"/>
      <c r="F17" s="434"/>
      <c r="G17" s="435"/>
      <c r="H17" s="435"/>
      <c r="I17" s="435"/>
      <c r="J17" s="434"/>
    </row>
    <row r="18" spans="1:5" s="436" customFormat="1" ht="24.75">
      <c r="A18" s="118"/>
      <c r="B18" s="118"/>
      <c r="C18" s="118"/>
      <c r="D18" s="118"/>
      <c r="E18" s="118"/>
    </row>
    <row r="19" spans="1:5" s="436" customFormat="1" ht="24.75">
      <c r="A19" s="118"/>
      <c r="B19" s="438" t="s">
        <v>63</v>
      </c>
      <c r="C19" s="438" t="s">
        <v>64</v>
      </c>
      <c r="D19" s="438" t="s">
        <v>879</v>
      </c>
      <c r="E19" s="438" t="s">
        <v>880</v>
      </c>
    </row>
    <row r="20" spans="1:5" s="436" customFormat="1" ht="24.75">
      <c r="A20" s="118"/>
      <c r="B20" s="267"/>
      <c r="C20" s="268"/>
      <c r="D20" s="267" t="s">
        <v>179</v>
      </c>
      <c r="E20" s="269">
        <v>39041</v>
      </c>
    </row>
    <row r="21" spans="1:5" s="436" customFormat="1" ht="24.75">
      <c r="A21" s="118"/>
      <c r="B21" s="267"/>
      <c r="C21" s="268"/>
      <c r="D21" s="268"/>
      <c r="E21" s="269"/>
    </row>
    <row r="22" spans="1:5" ht="24.75">
      <c r="A22" s="26"/>
      <c r="B22" s="38"/>
      <c r="C22" s="317" t="s">
        <v>60</v>
      </c>
      <c r="D22" s="37"/>
      <c r="E22" s="39">
        <f>SUM(E20:E21)</f>
        <v>39041</v>
      </c>
    </row>
    <row r="23" spans="1:5" ht="24.75">
      <c r="A23" s="26"/>
      <c r="B23" s="26"/>
      <c r="C23" s="26"/>
      <c r="D23" s="26"/>
      <c r="E23" s="26"/>
    </row>
    <row r="25" spans="1:10" s="436" customFormat="1" ht="23.25" customHeight="1">
      <c r="A25" s="118"/>
      <c r="B25" s="678" t="s">
        <v>920</v>
      </c>
      <c r="C25" s="678"/>
      <c r="D25" s="437"/>
      <c r="E25" s="408"/>
      <c r="F25" s="434"/>
      <c r="G25" s="435"/>
      <c r="H25" s="435"/>
      <c r="I25" s="435"/>
      <c r="J25" s="434"/>
    </row>
    <row r="26" spans="1:5" s="436" customFormat="1" ht="24.75">
      <c r="A26" s="118"/>
      <c r="B26" s="118"/>
      <c r="C26" s="118"/>
      <c r="D26" s="118"/>
      <c r="E26" s="118"/>
    </row>
    <row r="27" spans="1:5" s="436" customFormat="1" ht="24.75">
      <c r="A27" s="118"/>
      <c r="B27" s="438" t="s">
        <v>63</v>
      </c>
      <c r="C27" s="438" t="s">
        <v>64</v>
      </c>
      <c r="D27" s="438" t="s">
        <v>879</v>
      </c>
      <c r="E27" s="438" t="s">
        <v>880</v>
      </c>
    </row>
    <row r="28" spans="1:5" s="436" customFormat="1" ht="24.75">
      <c r="A28" s="118"/>
      <c r="B28" s="267">
        <v>1</v>
      </c>
      <c r="C28" s="268"/>
      <c r="D28" s="268"/>
      <c r="E28" s="269"/>
    </row>
    <row r="29" spans="1:5" ht="24.75">
      <c r="A29" s="26"/>
      <c r="B29" s="267"/>
      <c r="C29" s="268"/>
      <c r="D29" s="268"/>
      <c r="E29" s="269"/>
    </row>
    <row r="30" spans="1:5" ht="24.75">
      <c r="A30" s="26"/>
      <c r="B30" s="38"/>
      <c r="C30" s="317" t="s">
        <v>60</v>
      </c>
      <c r="D30" s="37"/>
      <c r="E30" s="39">
        <f>SUM(E28:E29)</f>
        <v>0</v>
      </c>
    </row>
  </sheetData>
  <sheetProtection/>
  <mergeCells count="9">
    <mergeCell ref="B25:C25"/>
    <mergeCell ref="B17:C17"/>
    <mergeCell ref="B2:E2"/>
    <mergeCell ref="B3:E3"/>
    <mergeCell ref="B4:C4"/>
    <mergeCell ref="G1:J1"/>
    <mergeCell ref="G2:J2"/>
    <mergeCell ref="G3:J3"/>
    <mergeCell ref="B1:E1"/>
  </mergeCells>
  <printOptions/>
  <pageMargins left="0.2" right="0.21" top="0.34" bottom="0.2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8.57421875" style="26" customWidth="1"/>
    <col min="2" max="2" width="16.140625" style="26" customWidth="1"/>
    <col min="3" max="3" width="13.57421875" style="26" customWidth="1"/>
    <col min="4" max="4" width="9.00390625" style="26" customWidth="1"/>
    <col min="5" max="5" width="7.00390625" style="26" customWidth="1"/>
    <col min="6" max="6" width="12.421875" style="26" customWidth="1"/>
    <col min="7" max="7" width="14.421875" style="26" customWidth="1"/>
    <col min="8" max="16384" width="9.00390625" style="26" customWidth="1"/>
  </cols>
  <sheetData>
    <row r="1" spans="1:7" ht="24.75">
      <c r="A1" s="685" t="s">
        <v>447</v>
      </c>
      <c r="B1" s="685"/>
      <c r="C1" s="685"/>
      <c r="D1" s="685"/>
      <c r="E1" s="685"/>
      <c r="F1" s="685"/>
      <c r="G1" s="685"/>
    </row>
    <row r="2" spans="1:7" ht="24.75">
      <c r="A2" s="685" t="s">
        <v>62</v>
      </c>
      <c r="B2" s="685"/>
      <c r="C2" s="685"/>
      <c r="D2" s="685"/>
      <c r="E2" s="685"/>
      <c r="F2" s="685"/>
      <c r="G2" s="685"/>
    </row>
    <row r="3" spans="1:7" ht="24.75">
      <c r="A3" s="685" t="s">
        <v>728</v>
      </c>
      <c r="B3" s="685"/>
      <c r="C3" s="685"/>
      <c r="D3" s="685"/>
      <c r="E3" s="685"/>
      <c r="F3" s="685"/>
      <c r="G3" s="685"/>
    </row>
    <row r="5" ht="24.75">
      <c r="A5" s="28" t="s">
        <v>921</v>
      </c>
    </row>
    <row r="6" ht="24.75">
      <c r="A6" s="26" t="s">
        <v>879</v>
      </c>
    </row>
    <row r="7" spans="1:7" ht="24.75">
      <c r="A7" s="681" t="s">
        <v>922</v>
      </c>
      <c r="B7" s="681" t="s">
        <v>923</v>
      </c>
      <c r="C7" s="681" t="s">
        <v>924</v>
      </c>
      <c r="D7" s="674" t="s">
        <v>925</v>
      </c>
      <c r="E7" s="675"/>
      <c r="F7" s="683" t="s">
        <v>928</v>
      </c>
      <c r="G7" s="683" t="s">
        <v>929</v>
      </c>
    </row>
    <row r="8" spans="1:7" ht="24.75">
      <c r="A8" s="682"/>
      <c r="B8" s="682"/>
      <c r="C8" s="682"/>
      <c r="D8" s="286" t="s">
        <v>926</v>
      </c>
      <c r="E8" s="318" t="s">
        <v>927</v>
      </c>
      <c r="F8" s="684"/>
      <c r="G8" s="684"/>
    </row>
    <row r="9" spans="1:7" ht="24.75">
      <c r="A9" s="185"/>
      <c r="B9" s="185"/>
      <c r="C9" s="185"/>
      <c r="D9" s="185"/>
      <c r="E9" s="185"/>
      <c r="F9" s="185"/>
      <c r="G9" s="185"/>
    </row>
    <row r="10" spans="1:7" ht="24.75">
      <c r="A10" s="311"/>
      <c r="B10" s="311"/>
      <c r="C10" s="311"/>
      <c r="D10" s="311"/>
      <c r="E10" s="311"/>
      <c r="F10" s="311"/>
      <c r="G10" s="311"/>
    </row>
    <row r="11" spans="1:7" ht="24.75">
      <c r="A11" s="306"/>
      <c r="B11" s="309" t="s">
        <v>60</v>
      </c>
      <c r="C11" s="311"/>
      <c r="D11" s="311"/>
      <c r="E11" s="311"/>
      <c r="F11" s="311"/>
      <c r="G11" s="311"/>
    </row>
    <row r="12" ht="24.75">
      <c r="A12" s="26" t="s">
        <v>931</v>
      </c>
    </row>
    <row r="13" ht="24.75">
      <c r="A13" s="26" t="s">
        <v>930</v>
      </c>
    </row>
    <row r="14" ht="24.75">
      <c r="A14" s="26" t="s">
        <v>880</v>
      </c>
    </row>
    <row r="15" spans="1:7" ht="24.75">
      <c r="A15" s="681" t="s">
        <v>922</v>
      </c>
      <c r="B15" s="681" t="s">
        <v>923</v>
      </c>
      <c r="C15" s="681" t="s">
        <v>924</v>
      </c>
      <c r="D15" s="674" t="s">
        <v>925</v>
      </c>
      <c r="E15" s="675"/>
      <c r="F15" s="683" t="s">
        <v>928</v>
      </c>
      <c r="G15" s="683" t="s">
        <v>929</v>
      </c>
    </row>
    <row r="16" spans="1:7" ht="24.75">
      <c r="A16" s="682"/>
      <c r="B16" s="682"/>
      <c r="C16" s="682"/>
      <c r="D16" s="286" t="s">
        <v>926</v>
      </c>
      <c r="E16" s="318" t="s">
        <v>927</v>
      </c>
      <c r="F16" s="684"/>
      <c r="G16" s="684"/>
    </row>
    <row r="17" spans="1:7" ht="24.75">
      <c r="A17" s="185"/>
      <c r="B17" s="185"/>
      <c r="C17" s="185"/>
      <c r="D17" s="185"/>
      <c r="E17" s="185"/>
      <c r="F17" s="185"/>
      <c r="G17" s="185"/>
    </row>
    <row r="18" spans="1:7" ht="24.75">
      <c r="A18" s="311"/>
      <c r="B18" s="311"/>
      <c r="C18" s="311"/>
      <c r="D18" s="311"/>
      <c r="E18" s="311"/>
      <c r="F18" s="311"/>
      <c r="G18" s="311"/>
    </row>
    <row r="19" spans="1:7" ht="24.75">
      <c r="A19" s="306"/>
      <c r="B19" s="309" t="s">
        <v>60</v>
      </c>
      <c r="C19" s="311"/>
      <c r="D19" s="311"/>
      <c r="E19" s="311"/>
      <c r="F19" s="311"/>
      <c r="G19" s="311"/>
    </row>
    <row r="20" ht="24.75">
      <c r="A20" s="26" t="s">
        <v>931</v>
      </c>
    </row>
    <row r="23" spans="1:7" ht="24.75">
      <c r="A23" s="28" t="s">
        <v>932</v>
      </c>
      <c r="F23" s="319" t="s">
        <v>879</v>
      </c>
      <c r="G23" s="319" t="s">
        <v>880</v>
      </c>
    </row>
    <row r="24" ht="24.75">
      <c r="B24" s="26" t="s">
        <v>933</v>
      </c>
    </row>
    <row r="25" spans="2:7" ht="24.75">
      <c r="B25" s="26" t="s">
        <v>933</v>
      </c>
      <c r="F25" s="305"/>
      <c r="G25" s="305"/>
    </row>
    <row r="26" spans="2:7" ht="25.5" thickBot="1">
      <c r="B26" s="28" t="s">
        <v>60</v>
      </c>
      <c r="F26" s="313"/>
      <c r="G26" s="313"/>
    </row>
    <row r="27" ht="25.5" thickTop="1"/>
  </sheetData>
  <sheetProtection/>
  <mergeCells count="15">
    <mergeCell ref="G15:G16"/>
    <mergeCell ref="F7:F8"/>
    <mergeCell ref="G7:G8"/>
    <mergeCell ref="A1:G1"/>
    <mergeCell ref="A2:G2"/>
    <mergeCell ref="A3:G3"/>
    <mergeCell ref="A15:A16"/>
    <mergeCell ref="B15:B16"/>
    <mergeCell ref="C15:C16"/>
    <mergeCell ref="D15:E15"/>
    <mergeCell ref="F15:F16"/>
    <mergeCell ref="D7:E7"/>
    <mergeCell ref="A7:A8"/>
    <mergeCell ref="B7:B8"/>
    <mergeCell ref="C7:C8"/>
  </mergeCells>
  <printOptions/>
  <pageMargins left="0.38" right="0.21" top="0.34" bottom="0.2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4.28125" style="26" customWidth="1"/>
    <col min="2" max="2" width="46.00390625" style="26" customWidth="1"/>
    <col min="3" max="3" width="12.57421875" style="26" customWidth="1"/>
    <col min="4" max="4" width="10.140625" style="26" customWidth="1"/>
    <col min="5" max="5" width="14.00390625" style="26" customWidth="1"/>
    <col min="6" max="6" width="5.7109375" style="26" customWidth="1"/>
    <col min="7" max="7" width="12.57421875" style="26" customWidth="1"/>
    <col min="8" max="8" width="10.00390625" style="26" customWidth="1"/>
    <col min="9" max="9" width="14.421875" style="26" customWidth="1"/>
    <col min="10" max="16384" width="9.00390625" style="26" customWidth="1"/>
  </cols>
  <sheetData>
    <row r="1" spans="2:13" s="118" customFormat="1" ht="23.25" customHeight="1">
      <c r="B1" s="618" t="s">
        <v>447</v>
      </c>
      <c r="C1" s="618"/>
      <c r="D1" s="618"/>
      <c r="E1" s="618"/>
      <c r="F1" s="618"/>
      <c r="G1" s="618"/>
      <c r="H1" s="618"/>
      <c r="I1" s="600"/>
      <c r="J1" s="618"/>
      <c r="K1" s="618"/>
      <c r="L1" s="618"/>
      <c r="M1" s="686"/>
    </row>
    <row r="2" spans="1:9" s="118" customFormat="1" ht="24.75">
      <c r="A2" s="618" t="s">
        <v>62</v>
      </c>
      <c r="B2" s="618"/>
      <c r="C2" s="618"/>
      <c r="D2" s="618"/>
      <c r="E2" s="618"/>
      <c r="F2" s="618"/>
      <c r="G2" s="618"/>
      <c r="H2" s="687"/>
      <c r="I2" s="686"/>
    </row>
    <row r="3" spans="1:9" s="118" customFormat="1" ht="24.75">
      <c r="A3" s="618" t="s">
        <v>728</v>
      </c>
      <c r="B3" s="618"/>
      <c r="C3" s="618"/>
      <c r="D3" s="618"/>
      <c r="E3" s="618"/>
      <c r="F3" s="618"/>
      <c r="G3" s="618"/>
      <c r="H3" s="687"/>
      <c r="I3" s="686"/>
    </row>
    <row r="4" spans="1:9" s="118" customFormat="1" ht="24.75">
      <c r="A4" s="688" t="s">
        <v>934</v>
      </c>
      <c r="B4" s="688"/>
      <c r="C4" s="690" t="s">
        <v>879</v>
      </c>
      <c r="D4" s="690"/>
      <c r="E4" s="690"/>
      <c r="F4" s="690"/>
      <c r="G4" s="690" t="s">
        <v>880</v>
      </c>
      <c r="H4" s="690"/>
      <c r="I4" s="690"/>
    </row>
    <row r="5" spans="1:10" ht="24.75">
      <c r="A5" s="689" t="s">
        <v>1095</v>
      </c>
      <c r="B5" s="689"/>
      <c r="C5" s="287"/>
      <c r="D5" s="287"/>
      <c r="E5" s="393">
        <v>10131317.16</v>
      </c>
      <c r="F5" s="287"/>
      <c r="G5" s="45"/>
      <c r="H5" s="46"/>
      <c r="I5" s="45">
        <v>11466612.6</v>
      </c>
      <c r="J5" s="10"/>
    </row>
    <row r="6" spans="1:10" ht="24.75">
      <c r="A6" s="12" t="s">
        <v>92</v>
      </c>
      <c r="B6" s="47"/>
      <c r="C6" s="371">
        <v>6920237.58</v>
      </c>
      <c r="D6" s="47"/>
      <c r="E6" s="399"/>
      <c r="F6" s="47"/>
      <c r="G6" s="46">
        <v>3892647.95</v>
      </c>
      <c r="H6" s="46"/>
      <c r="I6" s="46"/>
      <c r="J6" s="10"/>
    </row>
    <row r="7" spans="1:10" ht="26.25">
      <c r="A7" s="48" t="s">
        <v>93</v>
      </c>
      <c r="B7" s="12"/>
      <c r="C7" s="394">
        <v>1730059.4</v>
      </c>
      <c r="D7" s="12"/>
      <c r="E7" s="398">
        <f>C6-C7</f>
        <v>5190178.18</v>
      </c>
      <c r="F7" s="12"/>
      <c r="G7" s="52">
        <v>973161.99</v>
      </c>
      <c r="H7" s="46"/>
      <c r="I7" s="49">
        <f>G6-G7</f>
        <v>2919485.96</v>
      </c>
      <c r="J7" s="10"/>
    </row>
    <row r="8" spans="1:10" ht="24.75">
      <c r="A8" s="48" t="s">
        <v>94</v>
      </c>
      <c r="B8" s="12"/>
      <c r="C8" s="12"/>
      <c r="D8" s="12"/>
      <c r="E8" s="400"/>
      <c r="F8" s="12"/>
      <c r="G8" s="46"/>
      <c r="H8" s="46"/>
      <c r="I8" s="46"/>
      <c r="J8" s="10"/>
    </row>
    <row r="9" spans="1:10" ht="24.75">
      <c r="A9" s="12" t="s">
        <v>95</v>
      </c>
      <c r="B9" s="12"/>
      <c r="C9" s="371"/>
      <c r="D9" s="12"/>
      <c r="E9" s="12"/>
      <c r="F9" s="12"/>
      <c r="G9" s="46">
        <v>9925.6</v>
      </c>
      <c r="H9" s="46"/>
      <c r="I9" s="46"/>
      <c r="J9" s="10"/>
    </row>
    <row r="10" spans="1:10" ht="24.75">
      <c r="A10" s="200" t="s">
        <v>667</v>
      </c>
      <c r="B10" s="200"/>
      <c r="C10" s="397"/>
      <c r="D10" s="200"/>
      <c r="E10" s="200"/>
      <c r="F10" s="200"/>
      <c r="G10" s="200"/>
      <c r="H10" s="46"/>
      <c r="I10" s="46"/>
      <c r="J10" s="10"/>
    </row>
    <row r="11" spans="1:10" ht="24.75">
      <c r="A11" s="12"/>
      <c r="B11" s="12" t="s">
        <v>680</v>
      </c>
      <c r="C11" s="371"/>
      <c r="D11" s="12"/>
      <c r="E11" s="12"/>
      <c r="F11" s="12"/>
      <c r="G11" s="46">
        <v>89035</v>
      </c>
      <c r="H11" s="46"/>
      <c r="I11" s="46"/>
      <c r="J11" s="10"/>
    </row>
    <row r="12" spans="1:10" ht="24.75">
      <c r="A12" s="12" t="s">
        <v>668</v>
      </c>
      <c r="B12" s="12"/>
      <c r="C12" s="371"/>
      <c r="D12" s="12"/>
      <c r="E12" s="12"/>
      <c r="F12" s="12"/>
      <c r="G12" s="51">
        <v>8400</v>
      </c>
      <c r="H12" s="46"/>
      <c r="I12" s="46"/>
      <c r="J12" s="10"/>
    </row>
    <row r="13" spans="1:10" ht="24.75">
      <c r="A13" s="12" t="s">
        <v>669</v>
      </c>
      <c r="B13" s="12"/>
      <c r="C13" s="371"/>
      <c r="D13" s="12"/>
      <c r="E13" s="12"/>
      <c r="F13" s="12"/>
      <c r="G13" s="51">
        <v>5400</v>
      </c>
      <c r="H13" s="46"/>
      <c r="I13" s="46"/>
      <c r="J13" s="10"/>
    </row>
    <row r="14" spans="1:10" ht="24.75">
      <c r="A14" s="12" t="s">
        <v>670</v>
      </c>
      <c r="B14" s="12"/>
      <c r="C14" s="371"/>
      <c r="D14" s="12"/>
      <c r="E14" s="12"/>
      <c r="F14" s="12"/>
      <c r="G14" s="51">
        <v>238</v>
      </c>
      <c r="H14" s="46"/>
      <c r="I14" s="46"/>
      <c r="J14" s="10"/>
    </row>
    <row r="15" spans="1:10" ht="24.75">
      <c r="A15" s="12" t="s">
        <v>671</v>
      </c>
      <c r="B15" s="12"/>
      <c r="C15" s="371"/>
      <c r="D15" s="12"/>
      <c r="E15" s="12"/>
      <c r="F15" s="12"/>
      <c r="G15" s="51">
        <v>3020</v>
      </c>
      <c r="H15" s="46"/>
      <c r="I15" s="46"/>
      <c r="J15" s="10"/>
    </row>
    <row r="16" spans="1:10" ht="24.75">
      <c r="A16" s="12" t="s">
        <v>672</v>
      </c>
      <c r="B16" s="12"/>
      <c r="C16" s="371"/>
      <c r="D16" s="12"/>
      <c r="E16" s="12"/>
      <c r="F16" s="12"/>
      <c r="G16" s="51">
        <v>3000</v>
      </c>
      <c r="H16" s="46"/>
      <c r="I16" s="46"/>
      <c r="J16" s="10"/>
    </row>
    <row r="17" spans="1:10" ht="24.75">
      <c r="A17" s="12" t="s">
        <v>1097</v>
      </c>
      <c r="B17" s="12"/>
      <c r="C17" s="371"/>
      <c r="D17" s="398">
        <v>10040</v>
      </c>
      <c r="E17" s="12"/>
      <c r="F17" s="12"/>
      <c r="G17" s="51"/>
      <c r="H17" s="46"/>
      <c r="I17" s="46"/>
      <c r="J17" s="10"/>
    </row>
    <row r="18" spans="1:10" ht="24.75">
      <c r="A18" s="12" t="s">
        <v>1098</v>
      </c>
      <c r="B18" s="12"/>
      <c r="C18" s="371"/>
      <c r="D18" s="398">
        <v>56846.7</v>
      </c>
      <c r="E18" s="12"/>
      <c r="F18" s="12"/>
      <c r="G18" s="51"/>
      <c r="H18" s="46"/>
      <c r="I18" s="46"/>
      <c r="J18" s="10"/>
    </row>
    <row r="19" spans="1:10" ht="24.75">
      <c r="A19" s="12" t="s">
        <v>1099</v>
      </c>
      <c r="B19" s="12"/>
      <c r="C19" s="371"/>
      <c r="D19" s="394">
        <v>378111</v>
      </c>
      <c r="E19" s="394">
        <f>D9+D10+D11+D12+D13+D14+D15+D16+D17+D18+D19</f>
        <v>444997.7</v>
      </c>
      <c r="F19" s="12"/>
      <c r="G19" s="51"/>
      <c r="H19" s="46"/>
      <c r="I19" s="46">
        <f>G9+G10+G11+G12+G13+G14+G15+G16+G17+G18+G19</f>
        <v>119018.6</v>
      </c>
      <c r="J19" s="10"/>
    </row>
    <row r="20" spans="1:10" ht="24.75">
      <c r="A20" s="12"/>
      <c r="B20" s="12"/>
      <c r="C20" s="12"/>
      <c r="D20" s="12"/>
      <c r="E20" s="12"/>
      <c r="F20" s="12"/>
      <c r="G20" s="51"/>
      <c r="H20" s="46"/>
      <c r="I20" s="46"/>
      <c r="J20" s="10"/>
    </row>
    <row r="21" spans="1:10" ht="24.75">
      <c r="A21" s="12"/>
      <c r="B21" s="12"/>
      <c r="C21" s="12"/>
      <c r="D21" s="12"/>
      <c r="E21" s="12"/>
      <c r="F21" s="12"/>
      <c r="G21" s="51"/>
      <c r="H21" s="46"/>
      <c r="I21" s="46"/>
      <c r="J21" s="10"/>
    </row>
    <row r="22" spans="1:10" ht="24.75">
      <c r="A22" s="48" t="s">
        <v>96</v>
      </c>
      <c r="B22" s="12"/>
      <c r="C22" s="12"/>
      <c r="D22" s="12"/>
      <c r="E22" s="12"/>
      <c r="F22" s="12"/>
      <c r="G22" s="51"/>
      <c r="H22" s="46"/>
      <c r="I22" s="51"/>
      <c r="J22" s="10"/>
    </row>
    <row r="23" spans="1:10" ht="24.75">
      <c r="A23" s="12" t="s">
        <v>97</v>
      </c>
      <c r="B23" s="51"/>
      <c r="C23" s="51">
        <v>1851000</v>
      </c>
      <c r="D23" s="51"/>
      <c r="E23" s="51"/>
      <c r="F23" s="51"/>
      <c r="G23" s="201" t="s">
        <v>673</v>
      </c>
      <c r="H23" s="46"/>
      <c r="I23" s="46"/>
      <c r="J23" s="10"/>
    </row>
    <row r="24" spans="1:10" ht="24.75">
      <c r="A24" s="12" t="s">
        <v>1100</v>
      </c>
      <c r="B24" s="51"/>
      <c r="C24" s="51">
        <v>0</v>
      </c>
      <c r="D24" s="51"/>
      <c r="E24" s="51"/>
      <c r="F24" s="51"/>
      <c r="G24" s="201"/>
      <c r="H24" s="46"/>
      <c r="I24" s="46"/>
      <c r="J24" s="10"/>
    </row>
    <row r="25" spans="1:10" ht="24.75">
      <c r="A25" s="12"/>
      <c r="B25" s="51"/>
      <c r="C25" s="395" t="s">
        <v>179</v>
      </c>
      <c r="D25" s="51"/>
      <c r="E25" s="52">
        <f>C23+C24</f>
        <v>1851000</v>
      </c>
      <c r="F25" s="51"/>
      <c r="G25" s="52">
        <v>0</v>
      </c>
      <c r="H25" s="46"/>
      <c r="I25" s="202" t="str">
        <f>G23</f>
        <v>4,373,800.00</v>
      </c>
      <c r="J25" s="10"/>
    </row>
    <row r="26" spans="1:10" ht="25.5" thickBot="1">
      <c r="A26" s="48" t="s">
        <v>1096</v>
      </c>
      <c r="B26" s="45"/>
      <c r="C26" s="45"/>
      <c r="D26" s="45"/>
      <c r="E26" s="396">
        <f>E5+E7+E19-E25</f>
        <v>13915493.04</v>
      </c>
      <c r="F26" s="45"/>
      <c r="G26" s="45"/>
      <c r="H26" s="45"/>
      <c r="I26" s="53">
        <f>I5+I7+I20-I25</f>
        <v>10012298.559999999</v>
      </c>
      <c r="J26" s="10"/>
    </row>
    <row r="27" spans="1:10" ht="25.5" thickTop="1">
      <c r="A27" s="48"/>
      <c r="B27" s="45"/>
      <c r="C27" s="45"/>
      <c r="D27" s="45"/>
      <c r="E27" s="50"/>
      <c r="F27" s="45"/>
      <c r="G27" s="45"/>
      <c r="H27" s="45"/>
      <c r="I27" s="50"/>
      <c r="J27" s="10"/>
    </row>
    <row r="28" spans="1:10" ht="24.75">
      <c r="A28" s="48" t="s">
        <v>1101</v>
      </c>
      <c r="B28" s="48"/>
      <c r="C28" s="48"/>
      <c r="D28" s="48"/>
      <c r="E28" s="48"/>
      <c r="F28" s="48"/>
      <c r="G28" s="46"/>
      <c r="H28" s="46"/>
      <c r="I28" s="50"/>
      <c r="J28" s="10"/>
    </row>
    <row r="29" spans="1:10" ht="24.75">
      <c r="A29" s="12" t="s">
        <v>674</v>
      </c>
      <c r="B29" s="12"/>
      <c r="C29" s="12"/>
      <c r="D29" s="12"/>
      <c r="E29" s="371">
        <v>42400</v>
      </c>
      <c r="F29" s="12"/>
      <c r="G29" s="46"/>
      <c r="H29" s="46"/>
      <c r="I29" s="46">
        <v>42400</v>
      </c>
      <c r="J29" s="10"/>
    </row>
    <row r="30" spans="1:10" ht="24.75">
      <c r="A30" s="12" t="s">
        <v>98</v>
      </c>
      <c r="B30" s="12"/>
      <c r="C30" s="12"/>
      <c r="D30" s="12"/>
      <c r="E30" s="197">
        <v>53419.68</v>
      </c>
      <c r="F30" s="12"/>
      <c r="G30" s="46"/>
      <c r="H30" s="46"/>
      <c r="I30" s="46">
        <v>77762.86</v>
      </c>
      <c r="J30" s="10"/>
    </row>
    <row r="31" spans="1:10" ht="24.75">
      <c r="A31" s="12" t="s">
        <v>675</v>
      </c>
      <c r="B31" s="12"/>
      <c r="C31" s="12"/>
      <c r="D31" s="12"/>
      <c r="E31" s="197">
        <v>13518.75</v>
      </c>
      <c r="F31" s="12"/>
      <c r="G31" s="46"/>
      <c r="H31" s="46"/>
      <c r="I31" s="46">
        <v>25518.75</v>
      </c>
      <c r="J31" s="10"/>
    </row>
    <row r="32" spans="1:10" ht="24.75">
      <c r="A32" s="12" t="s">
        <v>676</v>
      </c>
      <c r="B32" s="12"/>
      <c r="C32" s="12"/>
      <c r="D32" s="12"/>
      <c r="E32" s="197">
        <v>13806154.61</v>
      </c>
      <c r="F32" s="12"/>
      <c r="G32" s="46"/>
      <c r="H32" s="46"/>
      <c r="I32" s="52">
        <v>9985635.55</v>
      </c>
      <c r="J32" s="10"/>
    </row>
    <row r="33" spans="1:10" ht="25.5" thickBot="1">
      <c r="A33" s="12"/>
      <c r="B33" s="12"/>
      <c r="C33" s="12"/>
      <c r="D33" s="12"/>
      <c r="E33" s="401">
        <f>SUM(E29:E32)</f>
        <v>13915493.04</v>
      </c>
      <c r="F33" s="12"/>
      <c r="G33" s="46"/>
      <c r="H33" s="46"/>
      <c r="I33" s="54">
        <f>I29+I30+I31+I32</f>
        <v>10131317.16</v>
      </c>
      <c r="J33" s="10"/>
    </row>
    <row r="34" ht="25.5" thickTop="1"/>
    <row r="35" ht="24.75">
      <c r="A35" s="26" t="s">
        <v>1134</v>
      </c>
    </row>
    <row r="36" ht="24.75">
      <c r="A36" s="55" t="s">
        <v>935</v>
      </c>
    </row>
  </sheetData>
  <sheetProtection/>
  <mergeCells count="8">
    <mergeCell ref="B1:H1"/>
    <mergeCell ref="J1:M1"/>
    <mergeCell ref="A2:I2"/>
    <mergeCell ref="A3:I3"/>
    <mergeCell ref="A4:B4"/>
    <mergeCell ref="A5:B5"/>
    <mergeCell ref="G4:I4"/>
    <mergeCell ref="C4:F4"/>
  </mergeCells>
  <printOptions/>
  <pageMargins left="0.1968503937007874" right="0.1968503937007874" top="0.62" bottom="0.15748031496062992" header="0.65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5.57421875" style="0" customWidth="1"/>
    <col min="2" max="2" width="55.7109375" style="0" customWidth="1"/>
    <col min="3" max="3" width="13.421875" style="0" customWidth="1"/>
    <col min="4" max="4" width="13.8515625" style="0" customWidth="1"/>
    <col min="5" max="5" width="13.28125" style="0" customWidth="1"/>
    <col min="6" max="6" width="11.7109375" style="0" customWidth="1"/>
    <col min="7" max="7" width="12.00390625" style="0" customWidth="1"/>
    <col min="8" max="8" width="14.00390625" style="0" customWidth="1"/>
  </cols>
  <sheetData>
    <row r="1" spans="1:7" s="183" customFormat="1" ht="24.75">
      <c r="A1" s="670" t="s">
        <v>447</v>
      </c>
      <c r="B1" s="670"/>
      <c r="C1" s="670"/>
      <c r="D1" s="671"/>
      <c r="E1" s="671"/>
      <c r="F1" s="671"/>
      <c r="G1" s="692"/>
    </row>
    <row r="2" spans="1:7" s="183" customFormat="1" ht="24.75">
      <c r="A2" s="670" t="s">
        <v>62</v>
      </c>
      <c r="B2" s="670"/>
      <c r="C2" s="670"/>
      <c r="D2" s="671"/>
      <c r="E2" s="671"/>
      <c r="F2" s="671"/>
      <c r="G2" s="692"/>
    </row>
    <row r="3" spans="1:7" s="183" customFormat="1" ht="24.75">
      <c r="A3" s="670" t="s">
        <v>728</v>
      </c>
      <c r="B3" s="670"/>
      <c r="C3" s="670"/>
      <c r="D3" s="671"/>
      <c r="E3" s="671"/>
      <c r="F3" s="671"/>
      <c r="G3" s="692"/>
    </row>
    <row r="4" spans="1:7" s="183" customFormat="1" ht="18.75" customHeight="1">
      <c r="A4" s="118"/>
      <c r="B4" s="118"/>
      <c r="C4" s="118"/>
      <c r="D4" s="118"/>
      <c r="E4" s="118"/>
      <c r="F4" s="449"/>
      <c r="G4" s="102"/>
    </row>
    <row r="5" spans="1:7" s="183" customFormat="1" ht="24.75">
      <c r="A5" s="422" t="s">
        <v>936</v>
      </c>
      <c r="B5" s="422"/>
      <c r="C5" s="118"/>
      <c r="D5" s="118"/>
      <c r="E5" s="118"/>
      <c r="F5" s="449"/>
      <c r="G5" s="102"/>
    </row>
    <row r="6" spans="1:7" s="183" customFormat="1" ht="24.75">
      <c r="A6" s="422" t="s">
        <v>879</v>
      </c>
      <c r="B6" s="422"/>
      <c r="C6" s="118"/>
      <c r="D6" s="118"/>
      <c r="E6" s="118"/>
      <c r="F6" s="449"/>
      <c r="G6" s="102"/>
    </row>
    <row r="7" spans="1:7" s="183" customFormat="1" ht="32.25" customHeight="1">
      <c r="A7" s="693" t="s">
        <v>77</v>
      </c>
      <c r="B7" s="693" t="s">
        <v>78</v>
      </c>
      <c r="C7" s="694" t="s">
        <v>99</v>
      </c>
      <c r="D7" s="691" t="s">
        <v>100</v>
      </c>
      <c r="E7" s="691" t="s">
        <v>101</v>
      </c>
      <c r="F7" s="691" t="s">
        <v>291</v>
      </c>
      <c r="G7" s="691" t="s">
        <v>102</v>
      </c>
    </row>
    <row r="8" spans="1:7" s="183" customFormat="1" ht="32.25" customHeight="1">
      <c r="A8" s="693"/>
      <c r="B8" s="693"/>
      <c r="C8" s="695"/>
      <c r="D8" s="691"/>
      <c r="E8" s="691"/>
      <c r="F8" s="691"/>
      <c r="G8" s="691"/>
    </row>
    <row r="9" spans="1:7" s="183" customFormat="1" ht="22.5">
      <c r="A9" s="275" t="s">
        <v>482</v>
      </c>
      <c r="B9" s="450" t="s">
        <v>455</v>
      </c>
      <c r="C9" s="444"/>
      <c r="D9" s="444"/>
      <c r="E9" s="444"/>
      <c r="F9" s="444"/>
      <c r="G9" s="444"/>
    </row>
    <row r="10" spans="1:7" ht="22.5">
      <c r="A10" s="59"/>
      <c r="B10" s="276" t="s">
        <v>729</v>
      </c>
      <c r="C10" s="58">
        <v>98000</v>
      </c>
      <c r="D10" s="58">
        <v>97000</v>
      </c>
      <c r="E10" s="58">
        <v>97000</v>
      </c>
      <c r="F10" s="58">
        <f>C10-E10</f>
        <v>1000</v>
      </c>
      <c r="G10" s="58"/>
    </row>
    <row r="11" spans="1:7" ht="22.5">
      <c r="A11" s="59"/>
      <c r="B11" s="276" t="s">
        <v>730</v>
      </c>
      <c r="C11" s="58">
        <v>37000</v>
      </c>
      <c r="D11" s="58">
        <v>35000</v>
      </c>
      <c r="E11" s="58">
        <v>35000</v>
      </c>
      <c r="F11" s="58">
        <f aca="true" t="shared" si="0" ref="F11:F30">C11-E11</f>
        <v>2000</v>
      </c>
      <c r="G11" s="58"/>
    </row>
    <row r="12" spans="1:7" ht="22.5">
      <c r="A12" s="59"/>
      <c r="B12" s="276" t="s">
        <v>731</v>
      </c>
      <c r="C12" s="58">
        <v>50000</v>
      </c>
      <c r="D12" s="58">
        <v>48000</v>
      </c>
      <c r="E12" s="58">
        <v>48000</v>
      </c>
      <c r="F12" s="58">
        <f t="shared" si="0"/>
        <v>2000</v>
      </c>
      <c r="G12" s="58"/>
    </row>
    <row r="13" spans="1:7" ht="22.5">
      <c r="A13" s="59"/>
      <c r="B13" s="276" t="s">
        <v>732</v>
      </c>
      <c r="C13" s="58">
        <v>38000</v>
      </c>
      <c r="D13" s="58">
        <v>37500</v>
      </c>
      <c r="E13" s="58">
        <v>37500</v>
      </c>
      <c r="F13" s="58">
        <f t="shared" si="0"/>
        <v>500</v>
      </c>
      <c r="G13" s="58"/>
    </row>
    <row r="14" spans="1:7" ht="22.5">
      <c r="A14" s="59"/>
      <c r="B14" s="276" t="s">
        <v>733</v>
      </c>
      <c r="C14" s="58">
        <v>124000</v>
      </c>
      <c r="D14" s="58">
        <v>123500</v>
      </c>
      <c r="E14" s="58">
        <v>123500</v>
      </c>
      <c r="F14" s="58">
        <f t="shared" si="0"/>
        <v>500</v>
      </c>
      <c r="G14" s="58"/>
    </row>
    <row r="15" spans="1:7" ht="22.5">
      <c r="A15" s="59"/>
      <c r="B15" s="276" t="s">
        <v>736</v>
      </c>
      <c r="C15" s="58">
        <v>40000</v>
      </c>
      <c r="D15" s="58">
        <v>39500</v>
      </c>
      <c r="E15" s="58">
        <v>39500</v>
      </c>
      <c r="F15" s="58">
        <f t="shared" si="0"/>
        <v>500</v>
      </c>
      <c r="G15" s="58"/>
    </row>
    <row r="16" spans="1:7" ht="22.5">
      <c r="A16" s="59"/>
      <c r="B16" s="276" t="s">
        <v>734</v>
      </c>
      <c r="C16" s="58">
        <v>26000</v>
      </c>
      <c r="D16" s="58">
        <v>25500</v>
      </c>
      <c r="E16" s="58">
        <v>25500</v>
      </c>
      <c r="F16" s="58">
        <f t="shared" si="0"/>
        <v>500</v>
      </c>
      <c r="G16" s="58"/>
    </row>
    <row r="17" spans="1:7" ht="22.5">
      <c r="A17" s="59"/>
      <c r="B17" s="276" t="s">
        <v>735</v>
      </c>
      <c r="C17" s="58">
        <v>40000</v>
      </c>
      <c r="D17" s="58">
        <v>39500</v>
      </c>
      <c r="E17" s="58">
        <v>39500</v>
      </c>
      <c r="F17" s="58">
        <f t="shared" si="0"/>
        <v>500</v>
      </c>
      <c r="G17" s="58"/>
    </row>
    <row r="18" spans="1:7" ht="22.5">
      <c r="A18" s="59"/>
      <c r="B18" s="276" t="s">
        <v>737</v>
      </c>
      <c r="C18" s="58">
        <v>89000</v>
      </c>
      <c r="D18" s="58">
        <v>88000</v>
      </c>
      <c r="E18" s="58">
        <v>88000</v>
      </c>
      <c r="F18" s="58">
        <f t="shared" si="0"/>
        <v>1000</v>
      </c>
      <c r="G18" s="58"/>
    </row>
    <row r="19" spans="1:7" ht="22.5">
      <c r="A19" s="59"/>
      <c r="B19" s="276" t="s">
        <v>738</v>
      </c>
      <c r="C19" s="58">
        <v>20000</v>
      </c>
      <c r="D19" s="58">
        <v>19000</v>
      </c>
      <c r="E19" s="58">
        <v>19000</v>
      </c>
      <c r="F19" s="58">
        <f t="shared" si="0"/>
        <v>1000</v>
      </c>
      <c r="G19" s="58"/>
    </row>
    <row r="20" spans="1:7" ht="22.5">
      <c r="A20" s="59"/>
      <c r="B20" s="276" t="s">
        <v>739</v>
      </c>
      <c r="C20" s="58">
        <v>59000</v>
      </c>
      <c r="D20" s="58">
        <v>57000</v>
      </c>
      <c r="E20" s="58">
        <v>57000</v>
      </c>
      <c r="F20" s="58">
        <f t="shared" si="0"/>
        <v>2000</v>
      </c>
      <c r="G20" s="58"/>
    </row>
    <row r="21" spans="1:7" ht="22.5">
      <c r="A21" s="59"/>
      <c r="B21" s="276" t="s">
        <v>740</v>
      </c>
      <c r="C21" s="58">
        <v>38000</v>
      </c>
      <c r="D21" s="58">
        <v>36000</v>
      </c>
      <c r="E21" s="58">
        <v>36000</v>
      </c>
      <c r="F21" s="58">
        <f t="shared" si="0"/>
        <v>2000</v>
      </c>
      <c r="G21" s="58"/>
    </row>
    <row r="22" spans="1:7" ht="22.5">
      <c r="A22" s="59"/>
      <c r="B22" s="276" t="s">
        <v>741</v>
      </c>
      <c r="C22" s="58">
        <v>58000</v>
      </c>
      <c r="D22" s="58">
        <v>56000</v>
      </c>
      <c r="E22" s="58">
        <v>56000</v>
      </c>
      <c r="F22" s="58">
        <f t="shared" si="0"/>
        <v>2000</v>
      </c>
      <c r="G22" s="58"/>
    </row>
    <row r="23" spans="1:7" ht="22.5">
      <c r="A23" s="59"/>
      <c r="B23" s="276" t="s">
        <v>742</v>
      </c>
      <c r="C23" s="58">
        <v>29000</v>
      </c>
      <c r="D23" s="58">
        <v>27000</v>
      </c>
      <c r="E23" s="58">
        <v>27000</v>
      </c>
      <c r="F23" s="58">
        <f t="shared" si="0"/>
        <v>2000</v>
      </c>
      <c r="G23" s="58"/>
    </row>
    <row r="24" spans="1:7" ht="22.5">
      <c r="A24" s="59"/>
      <c r="B24" s="276" t="s">
        <v>743</v>
      </c>
      <c r="C24" s="58">
        <v>66000</v>
      </c>
      <c r="D24" s="58">
        <v>65000</v>
      </c>
      <c r="E24" s="58">
        <v>65000</v>
      </c>
      <c r="F24" s="58">
        <f t="shared" si="0"/>
        <v>1000</v>
      </c>
      <c r="G24" s="58"/>
    </row>
    <row r="25" spans="1:7" ht="22.5">
      <c r="A25" s="59"/>
      <c r="B25" s="276" t="s">
        <v>744</v>
      </c>
      <c r="C25" s="58">
        <v>40000</v>
      </c>
      <c r="D25" s="58">
        <v>39000</v>
      </c>
      <c r="E25" s="58">
        <v>39000</v>
      </c>
      <c r="F25" s="58">
        <f t="shared" si="0"/>
        <v>1000</v>
      </c>
      <c r="G25" s="58"/>
    </row>
    <row r="26" spans="1:7" ht="22.5">
      <c r="A26" s="59"/>
      <c r="B26" s="276" t="s">
        <v>745</v>
      </c>
      <c r="C26" s="58">
        <v>40000</v>
      </c>
      <c r="D26" s="58">
        <v>39000</v>
      </c>
      <c r="E26" s="58">
        <v>39000</v>
      </c>
      <c r="F26" s="58">
        <f t="shared" si="0"/>
        <v>1000</v>
      </c>
      <c r="G26" s="58"/>
    </row>
    <row r="27" spans="1:7" ht="22.5">
      <c r="A27" s="59"/>
      <c r="B27" s="276" t="s">
        <v>746</v>
      </c>
      <c r="C27" s="58">
        <v>40000</v>
      </c>
      <c r="D27" s="58">
        <v>39000</v>
      </c>
      <c r="E27" s="58">
        <v>39000</v>
      </c>
      <c r="F27" s="58">
        <f t="shared" si="0"/>
        <v>1000</v>
      </c>
      <c r="G27" s="58"/>
    </row>
    <row r="28" spans="1:7" ht="22.5">
      <c r="A28" s="59"/>
      <c r="B28" s="276" t="s">
        <v>747</v>
      </c>
      <c r="C28" s="58">
        <v>59000</v>
      </c>
      <c r="D28" s="58">
        <v>57000</v>
      </c>
      <c r="E28" s="58">
        <v>57000</v>
      </c>
      <c r="F28" s="58">
        <f t="shared" si="0"/>
        <v>2000</v>
      </c>
      <c r="G28" s="58"/>
    </row>
    <row r="29" spans="1:7" ht="22.5">
      <c r="A29" s="59"/>
      <c r="B29" s="276" t="s">
        <v>748</v>
      </c>
      <c r="C29" s="58">
        <v>65000</v>
      </c>
      <c r="D29" s="58">
        <v>63000</v>
      </c>
      <c r="E29" s="58">
        <v>63000</v>
      </c>
      <c r="F29" s="58">
        <f t="shared" si="0"/>
        <v>2000</v>
      </c>
      <c r="G29" s="58"/>
    </row>
    <row r="30" spans="1:7" ht="22.5">
      <c r="A30" s="59"/>
      <c r="B30" s="276" t="s">
        <v>749</v>
      </c>
      <c r="C30" s="58">
        <v>489000</v>
      </c>
      <c r="D30" s="58">
        <v>488000</v>
      </c>
      <c r="E30" s="58">
        <v>488000</v>
      </c>
      <c r="F30" s="58">
        <f t="shared" si="0"/>
        <v>1000</v>
      </c>
      <c r="G30" s="58"/>
    </row>
    <row r="31" spans="1:7" ht="22.5">
      <c r="A31" s="356"/>
      <c r="B31" s="357"/>
      <c r="C31" s="61">
        <f>SUM(C10:C30)</f>
        <v>1545000</v>
      </c>
      <c r="D31" s="61">
        <f>SUM(D10:D30)</f>
        <v>1518500</v>
      </c>
      <c r="E31" s="61">
        <f>SUM(E10:E30)</f>
        <v>1518500</v>
      </c>
      <c r="F31" s="61">
        <f>SUM(F10:F30)</f>
        <v>26500</v>
      </c>
      <c r="G31" s="61"/>
    </row>
    <row r="32" spans="1:7" ht="22.5">
      <c r="A32" s="59"/>
      <c r="B32" s="276"/>
      <c r="C32" s="58"/>
      <c r="D32" s="58"/>
      <c r="E32" s="58"/>
      <c r="F32" s="58"/>
      <c r="G32" s="58"/>
    </row>
    <row r="33" spans="1:7" s="183" customFormat="1" ht="22.5">
      <c r="A33" s="445"/>
      <c r="B33" s="446" t="s">
        <v>960</v>
      </c>
      <c r="C33" s="444">
        <v>340000</v>
      </c>
      <c r="D33" s="444">
        <v>332500</v>
      </c>
      <c r="E33" s="444">
        <v>332500</v>
      </c>
      <c r="F33" s="444">
        <f>C33-E33</f>
        <v>7500</v>
      </c>
      <c r="G33" s="444"/>
    </row>
    <row r="34" spans="1:7" s="183" customFormat="1" ht="22.5">
      <c r="A34" s="445"/>
      <c r="B34" s="447"/>
      <c r="C34" s="444"/>
      <c r="D34" s="444"/>
      <c r="E34" s="444"/>
      <c r="F34" s="444"/>
      <c r="G34" s="444"/>
    </row>
    <row r="35" spans="1:7" s="183" customFormat="1" ht="22.5">
      <c r="A35" s="698" t="s">
        <v>60</v>
      </c>
      <c r="B35" s="699"/>
      <c r="C35" s="448">
        <f>SUM(C31:C34)</f>
        <v>1885000</v>
      </c>
      <c r="D35" s="448">
        <f>SUM(D31:D34)</f>
        <v>1851000</v>
      </c>
      <c r="E35" s="448">
        <f>SUM(E31:E34)</f>
        <v>1851000</v>
      </c>
      <c r="F35" s="448">
        <f>SUM(F31:F34)</f>
        <v>34000</v>
      </c>
      <c r="G35" s="448"/>
    </row>
    <row r="36" spans="1:7" s="183" customFormat="1" ht="18">
      <c r="A36" s="102"/>
      <c r="B36" s="102"/>
      <c r="C36" s="102"/>
      <c r="D36" s="102"/>
      <c r="E36" s="102"/>
      <c r="F36" s="102"/>
      <c r="G36" s="102"/>
    </row>
    <row r="37" spans="1:7" s="183" customFormat="1" ht="18">
      <c r="A37" s="102"/>
      <c r="B37" s="102"/>
      <c r="C37" s="102"/>
      <c r="D37" s="102"/>
      <c r="E37" s="102"/>
      <c r="F37" s="102"/>
      <c r="G37" s="102"/>
    </row>
    <row r="38" spans="1:7" s="183" customFormat="1" ht="18">
      <c r="A38" s="102"/>
      <c r="B38" s="102"/>
      <c r="C38" s="102"/>
      <c r="D38" s="102"/>
      <c r="E38" s="102"/>
      <c r="F38" s="102"/>
      <c r="G38" s="102"/>
    </row>
    <row r="39" spans="1:7" s="183" customFormat="1" ht="18">
      <c r="A39" s="102"/>
      <c r="B39" s="102"/>
      <c r="C39" s="102"/>
      <c r="D39" s="102"/>
      <c r="E39" s="102"/>
      <c r="F39" s="102"/>
      <c r="G39" s="102"/>
    </row>
    <row r="40" spans="1:7" s="183" customFormat="1" ht="24.75">
      <c r="A40" s="422"/>
      <c r="B40" s="422"/>
      <c r="C40" s="118"/>
      <c r="D40" s="118"/>
      <c r="E40" s="118"/>
      <c r="F40" s="449"/>
      <c r="G40" s="102"/>
    </row>
    <row r="41" spans="1:7" s="183" customFormat="1" ht="24.75">
      <c r="A41" s="422"/>
      <c r="B41" s="422"/>
      <c r="C41" s="118"/>
      <c r="D41" s="118"/>
      <c r="E41" s="118"/>
      <c r="F41" s="449"/>
      <c r="G41" s="102"/>
    </row>
    <row r="42" spans="1:7" s="183" customFormat="1" ht="24.75">
      <c r="A42" s="422" t="s">
        <v>880</v>
      </c>
      <c r="B42" s="422"/>
      <c r="C42" s="118"/>
      <c r="D42" s="118"/>
      <c r="E42" s="118"/>
      <c r="F42" s="449"/>
      <c r="G42" s="102"/>
    </row>
    <row r="43" spans="1:7" s="183" customFormat="1" ht="32.25" customHeight="1">
      <c r="A43" s="693" t="s">
        <v>77</v>
      </c>
      <c r="B43" s="693" t="s">
        <v>78</v>
      </c>
      <c r="C43" s="694" t="s">
        <v>99</v>
      </c>
      <c r="D43" s="691" t="s">
        <v>100</v>
      </c>
      <c r="E43" s="691" t="s">
        <v>101</v>
      </c>
      <c r="F43" s="691" t="s">
        <v>291</v>
      </c>
      <c r="G43" s="691" t="s">
        <v>102</v>
      </c>
    </row>
    <row r="44" spans="1:7" s="183" customFormat="1" ht="23.25" customHeight="1">
      <c r="A44" s="693"/>
      <c r="B44" s="693"/>
      <c r="C44" s="695"/>
      <c r="D44" s="691"/>
      <c r="E44" s="691"/>
      <c r="F44" s="691"/>
      <c r="G44" s="691"/>
    </row>
    <row r="45" spans="1:7" ht="22.5">
      <c r="A45" s="275" t="s">
        <v>482</v>
      </c>
      <c r="B45" s="57" t="s">
        <v>455</v>
      </c>
      <c r="C45" s="58"/>
      <c r="D45" s="58"/>
      <c r="E45" s="58"/>
      <c r="F45" s="58"/>
      <c r="G45" s="58"/>
    </row>
    <row r="46" spans="1:7" ht="22.5">
      <c r="A46" s="59"/>
      <c r="B46" s="56" t="s">
        <v>939</v>
      </c>
      <c r="C46" s="58">
        <v>56000</v>
      </c>
      <c r="D46" s="58">
        <v>55500</v>
      </c>
      <c r="E46" s="58">
        <v>55500</v>
      </c>
      <c r="F46" s="58">
        <f>C46-E46</f>
        <v>500</v>
      </c>
      <c r="G46" s="58"/>
    </row>
    <row r="47" spans="1:7" ht="22.5">
      <c r="A47" s="59"/>
      <c r="B47" s="56" t="s">
        <v>940</v>
      </c>
      <c r="C47" s="58">
        <v>150000</v>
      </c>
      <c r="D47" s="58">
        <v>149500</v>
      </c>
      <c r="E47" s="58">
        <v>149500</v>
      </c>
      <c r="F47" s="58">
        <f aca="true" t="shared" si="1" ref="F47:F72">C47-E47</f>
        <v>500</v>
      </c>
      <c r="G47" s="58"/>
    </row>
    <row r="48" spans="1:7" ht="22.5">
      <c r="A48" s="59"/>
      <c r="B48" s="56" t="s">
        <v>941</v>
      </c>
      <c r="C48" s="58">
        <v>68600</v>
      </c>
      <c r="D48" s="58">
        <v>68000</v>
      </c>
      <c r="E48" s="58">
        <v>68000</v>
      </c>
      <c r="F48" s="58">
        <f t="shared" si="1"/>
        <v>600</v>
      </c>
      <c r="G48" s="58"/>
    </row>
    <row r="49" spans="1:7" ht="22.5">
      <c r="A49" s="59"/>
      <c r="B49" s="56" t="s">
        <v>942</v>
      </c>
      <c r="C49" s="58">
        <v>200000</v>
      </c>
      <c r="D49" s="58">
        <v>199500</v>
      </c>
      <c r="E49" s="58">
        <v>199500</v>
      </c>
      <c r="F49" s="58">
        <f t="shared" si="1"/>
        <v>500</v>
      </c>
      <c r="G49" s="58"/>
    </row>
    <row r="50" spans="1:7" ht="22.5">
      <c r="A50" s="59"/>
      <c r="B50" s="56" t="s">
        <v>943</v>
      </c>
      <c r="C50" s="58">
        <v>80000</v>
      </c>
      <c r="D50" s="58">
        <v>75000</v>
      </c>
      <c r="E50" s="58">
        <v>75000</v>
      </c>
      <c r="F50" s="58">
        <f t="shared" si="1"/>
        <v>5000</v>
      </c>
      <c r="G50" s="58"/>
    </row>
    <row r="51" spans="1:7" ht="22.5">
      <c r="A51" s="59"/>
      <c r="B51" s="56" t="s">
        <v>944</v>
      </c>
      <c r="C51" s="58">
        <v>200000</v>
      </c>
      <c r="D51" s="58">
        <v>199500</v>
      </c>
      <c r="E51" s="58">
        <v>199500</v>
      </c>
      <c r="F51" s="58">
        <f t="shared" si="1"/>
        <v>500</v>
      </c>
      <c r="G51" s="58"/>
    </row>
    <row r="52" spans="1:7" ht="22.5">
      <c r="A52" s="59"/>
      <c r="B52" s="56" t="s">
        <v>945</v>
      </c>
      <c r="C52" s="58">
        <v>100000</v>
      </c>
      <c r="D52" s="58">
        <v>99500</v>
      </c>
      <c r="E52" s="58">
        <v>99500</v>
      </c>
      <c r="F52" s="58">
        <f t="shared" si="1"/>
        <v>500</v>
      </c>
      <c r="G52" s="58"/>
    </row>
    <row r="53" spans="1:7" ht="22.5">
      <c r="A53" s="59"/>
      <c r="B53" s="56" t="s">
        <v>946</v>
      </c>
      <c r="C53" s="58">
        <v>100000</v>
      </c>
      <c r="D53" s="58">
        <v>99500</v>
      </c>
      <c r="E53" s="58">
        <v>99500</v>
      </c>
      <c r="F53" s="58">
        <f t="shared" si="1"/>
        <v>500</v>
      </c>
      <c r="G53" s="58"/>
    </row>
    <row r="54" spans="1:7" ht="22.5">
      <c r="A54" s="59"/>
      <c r="B54" s="56" t="s">
        <v>947</v>
      </c>
      <c r="C54" s="58">
        <v>74000</v>
      </c>
      <c r="D54" s="58">
        <v>70000</v>
      </c>
      <c r="E54" s="58">
        <v>70000</v>
      </c>
      <c r="F54" s="58">
        <f t="shared" si="1"/>
        <v>4000</v>
      </c>
      <c r="G54" s="58"/>
    </row>
    <row r="55" spans="1:7" ht="22.5">
      <c r="A55" s="59"/>
      <c r="B55" s="56" t="s">
        <v>948</v>
      </c>
      <c r="C55" s="58">
        <v>100000</v>
      </c>
      <c r="D55" s="58">
        <v>99500</v>
      </c>
      <c r="E55" s="58">
        <v>99500</v>
      </c>
      <c r="F55" s="58">
        <f t="shared" si="1"/>
        <v>500</v>
      </c>
      <c r="G55" s="58"/>
    </row>
    <row r="56" spans="1:7" ht="22.5">
      <c r="A56" s="59"/>
      <c r="B56" s="56" t="s">
        <v>949</v>
      </c>
      <c r="C56" s="58">
        <v>51000</v>
      </c>
      <c r="D56" s="58">
        <v>50500</v>
      </c>
      <c r="E56" s="58">
        <v>50500</v>
      </c>
      <c r="F56" s="58">
        <f t="shared" si="1"/>
        <v>500</v>
      </c>
      <c r="G56" s="58"/>
    </row>
    <row r="57" spans="1:7" ht="22.5">
      <c r="A57" s="59"/>
      <c r="B57" s="56" t="s">
        <v>950</v>
      </c>
      <c r="C57" s="58">
        <v>200000</v>
      </c>
      <c r="D57" s="58">
        <v>199500</v>
      </c>
      <c r="E57" s="58">
        <v>199500</v>
      </c>
      <c r="F57" s="58">
        <f t="shared" si="1"/>
        <v>500</v>
      </c>
      <c r="G57" s="58"/>
    </row>
    <row r="58" spans="1:7" ht="22.5">
      <c r="A58" s="59"/>
      <c r="B58" s="56" t="s">
        <v>951</v>
      </c>
      <c r="C58" s="58">
        <v>200000</v>
      </c>
      <c r="D58" s="58">
        <v>199500</v>
      </c>
      <c r="E58" s="58">
        <v>199500</v>
      </c>
      <c r="F58" s="58">
        <f t="shared" si="1"/>
        <v>500</v>
      </c>
      <c r="G58" s="58"/>
    </row>
    <row r="59" spans="1:7" ht="22.5">
      <c r="A59" s="59"/>
      <c r="B59" s="56" t="s">
        <v>952</v>
      </c>
      <c r="C59" s="58">
        <v>100000</v>
      </c>
      <c r="D59" s="58">
        <v>99500</v>
      </c>
      <c r="E59" s="58">
        <v>99500</v>
      </c>
      <c r="F59" s="58">
        <f t="shared" si="1"/>
        <v>500</v>
      </c>
      <c r="G59" s="58"/>
    </row>
    <row r="60" spans="1:7" ht="22.5">
      <c r="A60" s="59"/>
      <c r="B60" s="56" t="s">
        <v>953</v>
      </c>
      <c r="C60" s="58">
        <v>150000</v>
      </c>
      <c r="D60" s="58">
        <v>146000</v>
      </c>
      <c r="E60" s="58">
        <v>146000</v>
      </c>
      <c r="F60" s="58">
        <f t="shared" si="1"/>
        <v>4000</v>
      </c>
      <c r="G60" s="58"/>
    </row>
    <row r="61" spans="1:7" ht="22.5">
      <c r="A61" s="59"/>
      <c r="B61" s="56" t="s">
        <v>954</v>
      </c>
      <c r="C61" s="58">
        <v>200000</v>
      </c>
      <c r="D61" s="58">
        <v>199500</v>
      </c>
      <c r="E61" s="58">
        <v>199500</v>
      </c>
      <c r="F61" s="58">
        <f t="shared" si="1"/>
        <v>500</v>
      </c>
      <c r="G61" s="58"/>
    </row>
    <row r="62" spans="1:7" ht="22.5">
      <c r="A62" s="59"/>
      <c r="B62" s="60" t="s">
        <v>955</v>
      </c>
      <c r="C62" s="58">
        <v>60500</v>
      </c>
      <c r="D62" s="58">
        <v>60000</v>
      </c>
      <c r="E62" s="58">
        <v>60000</v>
      </c>
      <c r="F62" s="58">
        <f t="shared" si="1"/>
        <v>500</v>
      </c>
      <c r="G62" s="58"/>
    </row>
    <row r="63" spans="1:7" ht="22.5">
      <c r="A63" s="59"/>
      <c r="B63" s="60" t="s">
        <v>956</v>
      </c>
      <c r="C63" s="58">
        <v>45800</v>
      </c>
      <c r="D63" s="58">
        <v>45300</v>
      </c>
      <c r="E63" s="58">
        <v>45300</v>
      </c>
      <c r="F63" s="58">
        <f t="shared" si="1"/>
        <v>500</v>
      </c>
      <c r="G63" s="58"/>
    </row>
    <row r="64" spans="1:7" ht="22.5">
      <c r="A64" s="59"/>
      <c r="B64" s="60" t="s">
        <v>957</v>
      </c>
      <c r="C64" s="58">
        <v>62200</v>
      </c>
      <c r="D64" s="58">
        <v>62000</v>
      </c>
      <c r="E64" s="58">
        <v>62000</v>
      </c>
      <c r="F64" s="58">
        <f t="shared" si="1"/>
        <v>200</v>
      </c>
      <c r="G64" s="58"/>
    </row>
    <row r="65" spans="1:7" ht="22.5">
      <c r="A65" s="59"/>
      <c r="B65" s="56" t="s">
        <v>958</v>
      </c>
      <c r="C65" s="58">
        <v>590000</v>
      </c>
      <c r="D65" s="58">
        <v>273000</v>
      </c>
      <c r="E65" s="58">
        <v>273000</v>
      </c>
      <c r="F65" s="58">
        <f t="shared" si="1"/>
        <v>317000</v>
      </c>
      <c r="G65" s="58"/>
    </row>
    <row r="66" spans="1:7" ht="22.5">
      <c r="A66" s="59"/>
      <c r="B66" s="56" t="s">
        <v>959</v>
      </c>
      <c r="C66" s="58">
        <v>1520000</v>
      </c>
      <c r="D66" s="58">
        <v>700000</v>
      </c>
      <c r="E66" s="58">
        <v>700000</v>
      </c>
      <c r="F66" s="58">
        <f t="shared" si="1"/>
        <v>820000</v>
      </c>
      <c r="G66" s="58"/>
    </row>
    <row r="67" spans="1:7" ht="22.5">
      <c r="A67" s="140"/>
      <c r="B67" s="56" t="s">
        <v>960</v>
      </c>
      <c r="C67" s="58">
        <v>340000</v>
      </c>
      <c r="D67" s="58"/>
      <c r="E67" s="58"/>
      <c r="F67" s="58">
        <v>0</v>
      </c>
      <c r="G67" s="444">
        <v>340000</v>
      </c>
    </row>
    <row r="68" spans="1:7" ht="22.5">
      <c r="A68" s="140"/>
      <c r="B68" s="56"/>
      <c r="C68" s="58"/>
      <c r="D68" s="58"/>
      <c r="E68" s="58"/>
      <c r="F68" s="58">
        <f t="shared" si="1"/>
        <v>0</v>
      </c>
      <c r="G68" s="58"/>
    </row>
    <row r="69" spans="1:7" ht="22.5">
      <c r="A69" s="140"/>
      <c r="B69" s="56" t="s">
        <v>961</v>
      </c>
      <c r="C69" s="58">
        <v>500000</v>
      </c>
      <c r="D69" s="58">
        <v>500000</v>
      </c>
      <c r="E69" s="58">
        <v>498000</v>
      </c>
      <c r="F69" s="58">
        <f t="shared" si="1"/>
        <v>2000</v>
      </c>
      <c r="G69" s="58"/>
    </row>
    <row r="70" spans="1:7" ht="22.5">
      <c r="A70" s="140"/>
      <c r="B70" s="56" t="s">
        <v>962</v>
      </c>
      <c r="C70" s="58">
        <v>500000</v>
      </c>
      <c r="D70" s="58">
        <v>498000</v>
      </c>
      <c r="E70" s="58">
        <v>498000</v>
      </c>
      <c r="F70" s="58">
        <f t="shared" si="1"/>
        <v>2000</v>
      </c>
      <c r="G70" s="58"/>
    </row>
    <row r="71" spans="1:7" ht="22.5">
      <c r="A71" s="59"/>
      <c r="B71" s="57" t="s">
        <v>963</v>
      </c>
      <c r="C71" s="58"/>
      <c r="D71" s="58"/>
      <c r="E71" s="58"/>
      <c r="F71" s="58">
        <f t="shared" si="1"/>
        <v>0</v>
      </c>
      <c r="G71" s="58"/>
    </row>
    <row r="72" spans="1:7" ht="22.5">
      <c r="A72" s="140"/>
      <c r="B72" s="56" t="s">
        <v>964</v>
      </c>
      <c r="C72" s="58">
        <v>239900</v>
      </c>
      <c r="D72" s="58">
        <v>227500</v>
      </c>
      <c r="E72" s="58">
        <v>227500</v>
      </c>
      <c r="F72" s="58">
        <f t="shared" si="1"/>
        <v>12400</v>
      </c>
      <c r="G72" s="58"/>
    </row>
    <row r="73" spans="1:7" ht="22.5">
      <c r="A73" s="696" t="s">
        <v>60</v>
      </c>
      <c r="B73" s="697"/>
      <c r="C73" s="61">
        <f>SUM(C46:C72)</f>
        <v>5888000</v>
      </c>
      <c r="D73" s="61">
        <f>SUM(D46:D72)</f>
        <v>4375800</v>
      </c>
      <c r="E73" s="61">
        <f>SUM(E46:E72)</f>
        <v>4373800</v>
      </c>
      <c r="F73" s="58">
        <f>SUM(F45:F72)</f>
        <v>1174200</v>
      </c>
      <c r="G73" s="61">
        <f>SUM(G46:G72)</f>
        <v>340000</v>
      </c>
    </row>
  </sheetData>
  <sheetProtection/>
  <mergeCells count="19">
    <mergeCell ref="E7:E8"/>
    <mergeCell ref="C7:C8"/>
    <mergeCell ref="A73:B73"/>
    <mergeCell ref="D43:D44"/>
    <mergeCell ref="C43:C44"/>
    <mergeCell ref="A35:B35"/>
    <mergeCell ref="A7:A8"/>
    <mergeCell ref="B7:B8"/>
    <mergeCell ref="D7:D8"/>
    <mergeCell ref="F7:F8"/>
    <mergeCell ref="A1:G1"/>
    <mergeCell ref="A2:G2"/>
    <mergeCell ref="A3:G3"/>
    <mergeCell ref="G7:G8"/>
    <mergeCell ref="A43:A44"/>
    <mergeCell ref="B43:B44"/>
    <mergeCell ref="E43:E44"/>
    <mergeCell ref="F43:F44"/>
    <mergeCell ref="G43:G44"/>
  </mergeCells>
  <printOptions horizontalCentered="1"/>
  <pageMargins left="0.15748031496062992" right="0.2362204724409449" top="0.2362204724409449" bottom="0.2362204724409449" header="0.31496062992125984" footer="0.31496062992125984"/>
  <pageSetup horizontalDpi="300" verticalDpi="3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.421875" style="10" customWidth="1"/>
    <col min="2" max="2" width="20.421875" style="10" customWidth="1"/>
    <col min="3" max="3" width="28.8515625" style="10" customWidth="1"/>
    <col min="4" max="4" width="13.7109375" style="10" customWidth="1"/>
    <col min="5" max="5" width="13.57421875" style="10" customWidth="1"/>
    <col min="6" max="6" width="13.140625" style="10" customWidth="1"/>
    <col min="7" max="7" width="12.7109375" style="10" customWidth="1"/>
    <col min="8" max="8" width="15.00390625" style="10" customWidth="1"/>
    <col min="9" max="16384" width="9.00390625" style="10" customWidth="1"/>
  </cols>
  <sheetData>
    <row r="1" spans="1:8" ht="24.75">
      <c r="A1" s="659" t="s">
        <v>447</v>
      </c>
      <c r="B1" s="659"/>
      <c r="C1" s="659"/>
      <c r="D1" s="660"/>
      <c r="E1" s="660"/>
      <c r="F1" s="660"/>
      <c r="G1" s="660"/>
      <c r="H1" s="703"/>
    </row>
    <row r="2" spans="1:8" ht="24.75">
      <c r="A2" s="659" t="s">
        <v>62</v>
      </c>
      <c r="B2" s="659"/>
      <c r="C2" s="659"/>
      <c r="D2" s="660"/>
      <c r="E2" s="660"/>
      <c r="F2" s="660"/>
      <c r="G2" s="660"/>
      <c r="H2" s="703"/>
    </row>
    <row r="3" spans="1:8" ht="24.75">
      <c r="A3" s="659" t="s">
        <v>728</v>
      </c>
      <c r="B3" s="659"/>
      <c r="C3" s="659"/>
      <c r="D3" s="660"/>
      <c r="E3" s="660"/>
      <c r="F3" s="660"/>
      <c r="G3" s="660"/>
      <c r="H3" s="703"/>
    </row>
    <row r="4" spans="1:7" ht="24.75">
      <c r="A4" s="26"/>
      <c r="B4" s="26"/>
      <c r="C4" s="26"/>
      <c r="D4" s="26"/>
      <c r="E4" s="26"/>
      <c r="F4" s="26"/>
      <c r="G4" s="43"/>
    </row>
    <row r="5" spans="1:7" ht="24.75">
      <c r="A5" s="28" t="s">
        <v>937</v>
      </c>
      <c r="B5" s="28"/>
      <c r="C5" s="28"/>
      <c r="D5" s="26"/>
      <c r="E5" s="26"/>
      <c r="F5" s="26"/>
      <c r="G5" s="43"/>
    </row>
    <row r="6" spans="1:7" ht="24.75">
      <c r="A6" s="28" t="s">
        <v>879</v>
      </c>
      <c r="B6" s="28"/>
      <c r="C6" s="28"/>
      <c r="D6" s="26"/>
      <c r="E6" s="26"/>
      <c r="F6" s="26"/>
      <c r="G6" s="43"/>
    </row>
    <row r="7" spans="1:8" ht="32.25" customHeight="1">
      <c r="A7" s="700" t="s">
        <v>77</v>
      </c>
      <c r="B7" s="700" t="s">
        <v>78</v>
      </c>
      <c r="C7" s="700" t="s">
        <v>79</v>
      </c>
      <c r="D7" s="701" t="s">
        <v>499</v>
      </c>
      <c r="E7" s="704" t="s">
        <v>100</v>
      </c>
      <c r="F7" s="704" t="s">
        <v>101</v>
      </c>
      <c r="G7" s="704" t="s">
        <v>291</v>
      </c>
      <c r="H7" s="704" t="s">
        <v>102</v>
      </c>
    </row>
    <row r="8" spans="1:8" ht="32.25" customHeight="1">
      <c r="A8" s="700"/>
      <c r="B8" s="700"/>
      <c r="C8" s="700"/>
      <c r="D8" s="702"/>
      <c r="E8" s="704"/>
      <c r="F8" s="704"/>
      <c r="G8" s="704"/>
      <c r="H8" s="704"/>
    </row>
    <row r="9" spans="1:8" ht="22.5">
      <c r="A9" s="59"/>
      <c r="B9" s="56"/>
      <c r="C9" s="56"/>
      <c r="D9" s="58"/>
      <c r="E9" s="58"/>
      <c r="F9" s="58"/>
      <c r="G9" s="58"/>
      <c r="H9" s="58"/>
    </row>
    <row r="10" spans="1:8" ht="22.5">
      <c r="A10" s="59"/>
      <c r="B10" s="56"/>
      <c r="C10" s="56"/>
      <c r="D10" s="58"/>
      <c r="E10" s="58"/>
      <c r="F10" s="58"/>
      <c r="G10" s="58"/>
      <c r="H10" s="58"/>
    </row>
    <row r="11" spans="1:8" ht="22.5">
      <c r="A11" s="59"/>
      <c r="B11" s="56"/>
      <c r="C11" s="56"/>
      <c r="D11" s="58"/>
      <c r="E11" s="58"/>
      <c r="F11" s="58"/>
      <c r="G11" s="58"/>
      <c r="H11" s="58"/>
    </row>
    <row r="12" spans="1:8" ht="22.5">
      <c r="A12" s="696" t="s">
        <v>60</v>
      </c>
      <c r="B12" s="697"/>
      <c r="C12" s="288"/>
      <c r="D12" s="61">
        <f>SUM(D9:D11)</f>
        <v>0</v>
      </c>
      <c r="E12" s="61">
        <f>SUM(E9:E11)</f>
        <v>0</v>
      </c>
      <c r="F12" s="61">
        <f>SUM(F9:F11)</f>
        <v>0</v>
      </c>
      <c r="G12" s="61">
        <f>SUM(G9:G11)</f>
        <v>0</v>
      </c>
      <c r="H12" s="61">
        <f>SUM(H9:H11)</f>
        <v>0</v>
      </c>
    </row>
    <row r="14" spans="1:7" ht="24.75">
      <c r="A14" s="28" t="s">
        <v>880</v>
      </c>
      <c r="B14" s="28"/>
      <c r="C14" s="28"/>
      <c r="D14" s="26"/>
      <c r="E14" s="26"/>
      <c r="F14" s="26"/>
      <c r="G14" s="43"/>
    </row>
    <row r="15" spans="1:8" ht="32.25" customHeight="1">
      <c r="A15" s="700" t="s">
        <v>77</v>
      </c>
      <c r="B15" s="700" t="s">
        <v>78</v>
      </c>
      <c r="C15" s="700" t="s">
        <v>79</v>
      </c>
      <c r="D15" s="701" t="s">
        <v>499</v>
      </c>
      <c r="E15" s="704" t="s">
        <v>100</v>
      </c>
      <c r="F15" s="704" t="s">
        <v>101</v>
      </c>
      <c r="G15" s="704" t="s">
        <v>291</v>
      </c>
      <c r="H15" s="704" t="s">
        <v>102</v>
      </c>
    </row>
    <row r="16" spans="1:8" ht="32.25" customHeight="1">
      <c r="A16" s="700"/>
      <c r="B16" s="700"/>
      <c r="C16" s="700"/>
      <c r="D16" s="702"/>
      <c r="E16" s="704"/>
      <c r="F16" s="704"/>
      <c r="G16" s="704"/>
      <c r="H16" s="704"/>
    </row>
    <row r="17" spans="1:8" ht="22.5">
      <c r="A17" s="59"/>
      <c r="B17" s="56"/>
      <c r="C17" s="56"/>
      <c r="D17" s="58"/>
      <c r="E17" s="58"/>
      <c r="F17" s="58"/>
      <c r="G17" s="58"/>
      <c r="H17" s="58"/>
    </row>
    <row r="18" spans="1:8" ht="22.5">
      <c r="A18" s="59"/>
      <c r="B18" s="56"/>
      <c r="C18" s="56"/>
      <c r="D18" s="58"/>
      <c r="E18" s="58"/>
      <c r="F18" s="58"/>
      <c r="G18" s="58"/>
      <c r="H18" s="58"/>
    </row>
    <row r="19" spans="1:8" ht="22.5">
      <c r="A19" s="59"/>
      <c r="B19" s="57"/>
      <c r="C19" s="57"/>
      <c r="D19" s="58"/>
      <c r="E19" s="58"/>
      <c r="F19" s="58"/>
      <c r="G19" s="58"/>
      <c r="H19" s="58"/>
    </row>
    <row r="20" spans="1:8" ht="22.5">
      <c r="A20" s="59"/>
      <c r="B20" s="56"/>
      <c r="C20" s="56"/>
      <c r="D20" s="58"/>
      <c r="E20" s="58"/>
      <c r="F20" s="58"/>
      <c r="G20" s="58"/>
      <c r="H20" s="58"/>
    </row>
    <row r="21" spans="1:8" ht="22.5">
      <c r="A21" s="59"/>
      <c r="B21" s="56"/>
      <c r="C21" s="56"/>
      <c r="D21" s="58"/>
      <c r="E21" s="58"/>
      <c r="F21" s="58"/>
      <c r="G21" s="58"/>
      <c r="H21" s="58"/>
    </row>
    <row r="22" spans="1:8" ht="22.5">
      <c r="A22" s="696" t="s">
        <v>60</v>
      </c>
      <c r="B22" s="697"/>
      <c r="C22" s="288"/>
      <c r="D22" s="61">
        <f>SUM(D17:D21)</f>
        <v>0</v>
      </c>
      <c r="E22" s="61">
        <f>SUM(E17:E21)</f>
        <v>0</v>
      </c>
      <c r="F22" s="61">
        <f>SUM(F17:F21)</f>
        <v>0</v>
      </c>
      <c r="G22" s="61">
        <f>SUM(G17:G21)</f>
        <v>0</v>
      </c>
      <c r="H22" s="61">
        <f>SUM(H17:H21)</f>
        <v>0</v>
      </c>
    </row>
  </sheetData>
  <sheetProtection/>
  <mergeCells count="21">
    <mergeCell ref="H15:H16"/>
    <mergeCell ref="E15:E16"/>
    <mergeCell ref="F15:F16"/>
    <mergeCell ref="G15:G16"/>
    <mergeCell ref="F7:F8"/>
    <mergeCell ref="A7:A8"/>
    <mergeCell ref="A1:H1"/>
    <mergeCell ref="A2:H2"/>
    <mergeCell ref="A3:H3"/>
    <mergeCell ref="H7:H8"/>
    <mergeCell ref="E7:E8"/>
    <mergeCell ref="B7:B8"/>
    <mergeCell ref="G7:G8"/>
    <mergeCell ref="A22:B22"/>
    <mergeCell ref="C7:C8"/>
    <mergeCell ref="C15:C16"/>
    <mergeCell ref="A15:A16"/>
    <mergeCell ref="B15:B16"/>
    <mergeCell ref="D15:D16"/>
    <mergeCell ref="A12:B12"/>
    <mergeCell ref="D7:D8"/>
  </mergeCells>
  <printOptions horizontalCentered="1"/>
  <pageMargins left="0" right="0" top="0.24" bottom="0.4" header="0.2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4"/>
  <sheetViews>
    <sheetView zoomScale="130" zoomScaleNormal="13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5" sqref="G25"/>
    </sheetView>
  </sheetViews>
  <sheetFormatPr defaultColWidth="9.140625" defaultRowHeight="15"/>
  <cols>
    <col min="1" max="1" width="16.00390625" style="10" customWidth="1"/>
    <col min="2" max="2" width="9.57421875" style="102" customWidth="1"/>
    <col min="3" max="3" width="9.421875" style="10" customWidth="1"/>
    <col min="4" max="5" width="9.140625" style="10" customWidth="1"/>
    <col min="6" max="6" width="7.7109375" style="10" customWidth="1"/>
    <col min="7" max="7" width="8.57421875" style="10" customWidth="1"/>
    <col min="8" max="8" width="8.8515625" style="10" customWidth="1"/>
    <col min="9" max="9" width="9.421875" style="10" customWidth="1"/>
    <col min="10" max="10" width="6.8515625" style="10" customWidth="1"/>
    <col min="11" max="11" width="8.00390625" style="10" customWidth="1"/>
    <col min="12" max="12" width="8.28125" style="10" customWidth="1"/>
    <col min="13" max="13" width="8.57421875" style="10" customWidth="1"/>
    <col min="14" max="14" width="5.421875" style="10" customWidth="1"/>
    <col min="15" max="15" width="9.57421875" style="10" customWidth="1"/>
    <col min="16" max="16" width="11.28125" style="10" customWidth="1"/>
    <col min="17" max="17" width="9.421875" style="10" customWidth="1"/>
    <col min="18" max="18" width="12.140625" style="10" bestFit="1" customWidth="1"/>
    <col min="19" max="19" width="9.00390625" style="10" customWidth="1"/>
    <col min="20" max="20" width="11.8515625" style="10" bestFit="1" customWidth="1"/>
    <col min="21" max="16384" width="9.00390625" style="10" customWidth="1"/>
  </cols>
  <sheetData>
    <row r="1" spans="1:15" s="102" customFormat="1" ht="14.25" customHeight="1">
      <c r="A1" s="706" t="s">
        <v>360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</row>
    <row r="2" spans="1:15" s="102" customFormat="1" ht="14.25" customHeight="1">
      <c r="A2" s="706" t="s">
        <v>141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1:15" s="102" customFormat="1" ht="14.25" customHeight="1">
      <c r="A3" s="706" t="s">
        <v>1103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</row>
    <row r="4" spans="1:15" ht="21.75" customHeight="1">
      <c r="A4" s="707" t="s">
        <v>64</v>
      </c>
      <c r="B4" s="708" t="s">
        <v>106</v>
      </c>
      <c r="C4" s="707" t="s">
        <v>60</v>
      </c>
      <c r="D4" s="707" t="s">
        <v>81</v>
      </c>
      <c r="E4" s="707" t="s">
        <v>88</v>
      </c>
      <c r="F4" s="707" t="s">
        <v>84</v>
      </c>
      <c r="G4" s="707" t="s">
        <v>107</v>
      </c>
      <c r="H4" s="707" t="s">
        <v>108</v>
      </c>
      <c r="I4" s="707" t="s">
        <v>83</v>
      </c>
      <c r="J4" s="707" t="s">
        <v>484</v>
      </c>
      <c r="K4" s="712" t="s">
        <v>109</v>
      </c>
      <c r="L4" s="714" t="s">
        <v>110</v>
      </c>
      <c r="M4" s="707" t="s">
        <v>111</v>
      </c>
      <c r="N4" s="707" t="s">
        <v>112</v>
      </c>
      <c r="O4" s="707" t="s">
        <v>113</v>
      </c>
    </row>
    <row r="5" spans="1:15" ht="22.5" customHeight="1">
      <c r="A5" s="702"/>
      <c r="B5" s="709"/>
      <c r="C5" s="702"/>
      <c r="D5" s="702"/>
      <c r="E5" s="702"/>
      <c r="F5" s="702"/>
      <c r="G5" s="702"/>
      <c r="H5" s="702"/>
      <c r="I5" s="702"/>
      <c r="J5" s="702"/>
      <c r="K5" s="713"/>
      <c r="L5" s="715"/>
      <c r="M5" s="702"/>
      <c r="N5" s="702"/>
      <c r="O5" s="702"/>
    </row>
    <row r="6" spans="1:21" s="102" customFormat="1" ht="14.25" customHeight="1">
      <c r="A6" s="103" t="s">
        <v>114</v>
      </c>
      <c r="B6" s="104"/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R6" s="106"/>
      <c r="S6" s="106"/>
      <c r="T6" s="107"/>
      <c r="U6" s="107"/>
    </row>
    <row r="7" spans="1:21" s="102" customFormat="1" ht="14.25" customHeight="1">
      <c r="A7" s="104" t="s">
        <v>1104</v>
      </c>
      <c r="B7" s="109">
        <f>'[2]สรุปรายจ่ายตามงบประมาณ '!D15</f>
        <v>16194980</v>
      </c>
      <c r="C7" s="110">
        <f>SUM(D7:O7)</f>
        <v>14401489</v>
      </c>
      <c r="D7" s="109"/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/>
      <c r="K7" s="109">
        <v>0</v>
      </c>
      <c r="L7" s="109">
        <v>0</v>
      </c>
      <c r="M7" s="109">
        <v>0</v>
      </c>
      <c r="N7" s="110">
        <v>0</v>
      </c>
      <c r="O7" s="109">
        <f>'[2]สรุปรายจ่ายตามงบประมาณ '!E15</f>
        <v>14401489</v>
      </c>
      <c r="P7" s="451">
        <f>SUM(D7:O7)</f>
        <v>14401489</v>
      </c>
      <c r="Q7" s="451">
        <f>P7-C7</f>
        <v>0</v>
      </c>
      <c r="R7" s="111"/>
      <c r="S7" s="111"/>
      <c r="T7" s="111"/>
      <c r="U7" s="111"/>
    </row>
    <row r="8" spans="1:21" s="102" customFormat="1" ht="14.25" customHeight="1">
      <c r="A8" s="104" t="s">
        <v>1135</v>
      </c>
      <c r="B8" s="109">
        <f>'[2]สรุปรายจ่ายตามงบประมาณ '!D23</f>
        <v>3155120</v>
      </c>
      <c r="C8" s="110">
        <f aca="true" t="shared" si="0" ref="C8:C17">SUM(D8:O8)</f>
        <v>2868085</v>
      </c>
      <c r="D8" s="109">
        <f>'[2]สรุปรายจ่ายตามงบประมาณ '!E23</f>
        <v>2868085</v>
      </c>
      <c r="E8" s="109"/>
      <c r="F8" s="109">
        <f>'[2]สรุปรายจ่ายตามงบประมาณ '!G23</f>
        <v>0</v>
      </c>
      <c r="G8" s="109">
        <f>'[2]สรุปรายจ่ายตามงบประมาณ '!H23</f>
        <v>0</v>
      </c>
      <c r="H8" s="109">
        <f>'[2]สรุปรายจ่ายตามงบประมาณ '!I23</f>
        <v>0</v>
      </c>
      <c r="I8" s="109">
        <f>'[2]สรุปรายจ่ายตามงบประมาณ '!J23</f>
        <v>0</v>
      </c>
      <c r="J8" s="109">
        <f>'[2]สรุปรายจ่ายตามงบประมาณ '!K23</f>
        <v>0</v>
      </c>
      <c r="K8" s="109">
        <f>'[2]สรุปรายจ่ายตามงบประมาณ '!L23</f>
        <v>0</v>
      </c>
      <c r="L8" s="109">
        <f>'[2]สรุปรายจ่ายตามงบประมาณ '!M23</f>
        <v>0</v>
      </c>
      <c r="M8" s="109">
        <f>'[2]สรุปรายจ่ายตามงบประมาณ '!N23</f>
        <v>0</v>
      </c>
      <c r="N8" s="109">
        <f>'[2]สรุปรายจ่ายตามงบประมาณ '!O23</f>
        <v>0</v>
      </c>
      <c r="O8" s="110">
        <v>0</v>
      </c>
      <c r="P8" s="451">
        <f>SUM(D8:O8)</f>
        <v>2868085</v>
      </c>
      <c r="Q8" s="451">
        <f>P8-C8</f>
        <v>0</v>
      </c>
      <c r="R8" s="111"/>
      <c r="S8" s="111"/>
      <c r="T8" s="111"/>
      <c r="U8" s="111"/>
    </row>
    <row r="9" spans="1:21" s="102" customFormat="1" ht="14.25" customHeight="1">
      <c r="A9" s="104" t="s">
        <v>127</v>
      </c>
      <c r="B9" s="109">
        <f>'[2]สรุปรายจ่ายตามงบประมาณ '!D82</f>
        <v>10805050</v>
      </c>
      <c r="C9" s="110">
        <f t="shared" si="0"/>
        <v>8980054</v>
      </c>
      <c r="D9" s="109">
        <f>'[2]รายจ่ายตามแผนงานรวม'!D9</f>
        <v>4663117</v>
      </c>
      <c r="E9" s="109">
        <f>'[2]แผนการศึกษา'!H8</f>
        <v>2164999</v>
      </c>
      <c r="F9" s="109">
        <f>'[2]สาธารณสุข'!H9</f>
        <v>241440</v>
      </c>
      <c r="G9" s="109">
        <v>0</v>
      </c>
      <c r="H9" s="109">
        <f>'[2]สังคมสงเคราะห์'!G9</f>
        <v>935100</v>
      </c>
      <c r="I9" s="109">
        <f>'[2]เคหะและชุมชน'!I9</f>
        <v>834964</v>
      </c>
      <c r="J9" s="109"/>
      <c r="K9" s="109">
        <f>'[2]สร้างความเข้มแข็งของชุมชน'!G9</f>
        <v>0</v>
      </c>
      <c r="L9" s="109">
        <f>'[2]ศาสนาวัฒนธรรม'!G9</f>
        <v>0</v>
      </c>
      <c r="M9" s="109">
        <f>'[2]การเกษตร'!G9</f>
        <v>140434</v>
      </c>
      <c r="N9" s="110">
        <v>0</v>
      </c>
      <c r="O9" s="110">
        <v>0</v>
      </c>
      <c r="P9" s="451">
        <f>SUM(D9:O9)</f>
        <v>8980054</v>
      </c>
      <c r="Q9" s="451">
        <f>P9-C9</f>
        <v>0</v>
      </c>
      <c r="R9" s="111"/>
      <c r="S9" s="111"/>
      <c r="T9" s="111"/>
      <c r="U9" s="111"/>
    </row>
    <row r="10" spans="1:21" s="102" customFormat="1" ht="14.25" customHeight="1">
      <c r="A10" s="104" t="s">
        <v>1105</v>
      </c>
      <c r="B10" s="109">
        <f>'[2]สรุปรายจ่ายตามงบประมาณ '!D133</f>
        <v>1141080</v>
      </c>
      <c r="C10" s="110">
        <f t="shared" si="0"/>
        <v>386500</v>
      </c>
      <c r="D10" s="109">
        <f>'[2]รายจ่ายตามแผนงานรวม'!D10</f>
        <v>239700</v>
      </c>
      <c r="E10" s="109">
        <f>'[2]แผนการศึกษา'!H9</f>
        <v>29800</v>
      </c>
      <c r="F10" s="109">
        <f>'[2]สาธารณสุข'!H10</f>
        <v>0</v>
      </c>
      <c r="G10" s="109">
        <f>'[2]การรักษาความสงบภายใน'!H10</f>
        <v>42000</v>
      </c>
      <c r="H10" s="109">
        <f>'[2]สังคมสงเคราะห์'!G10</f>
        <v>36000</v>
      </c>
      <c r="I10" s="109">
        <f>'[2]เคหะและชุมชน'!I10</f>
        <v>39000</v>
      </c>
      <c r="J10" s="109"/>
      <c r="K10" s="109">
        <f>'[2]สร้างความเข้มแข็งของชุมชน'!G10</f>
        <v>0</v>
      </c>
      <c r="L10" s="109">
        <f>'[2]ศาสนาวัฒนธรรม'!G10</f>
        <v>0</v>
      </c>
      <c r="M10" s="109">
        <f>'[2]การเกษตร'!G10</f>
        <v>0</v>
      </c>
      <c r="N10" s="110">
        <v>0</v>
      </c>
      <c r="O10" s="110">
        <v>0</v>
      </c>
      <c r="P10" s="451">
        <f>SUM(D10:O10)</f>
        <v>386500</v>
      </c>
      <c r="Q10" s="451">
        <f>P10-C10</f>
        <v>0</v>
      </c>
      <c r="R10" s="111"/>
      <c r="S10" s="111"/>
      <c r="T10" s="111"/>
      <c r="U10" s="111"/>
    </row>
    <row r="11" spans="1:21" s="102" customFormat="1" ht="14.25" customHeight="1">
      <c r="A11" s="104" t="s">
        <v>1106</v>
      </c>
      <c r="B11" s="109">
        <f>'[2]สรุปรายจ่ายตามงบประมาณ '!D256</f>
        <v>5457450</v>
      </c>
      <c r="C11" s="110">
        <f t="shared" si="0"/>
        <v>2806550</v>
      </c>
      <c r="D11" s="109">
        <f>'[2]รายจ่ายตามแผนงานรวม'!D11</f>
        <v>766166</v>
      </c>
      <c r="E11" s="109">
        <f>'[2]แผนการศึกษา'!H10</f>
        <v>981033</v>
      </c>
      <c r="F11" s="109">
        <f>'[2]สาธารณสุข'!H11</f>
        <v>102012</v>
      </c>
      <c r="G11" s="109">
        <f>'[2]การรักษาความสงบภายใน'!H11</f>
        <v>38890</v>
      </c>
      <c r="H11" s="109">
        <f>'[2]สังคมสงเคราะห์'!G11</f>
        <v>20672</v>
      </c>
      <c r="I11" s="109">
        <f>'[2]เคหะและชุมชน'!I11</f>
        <v>772361</v>
      </c>
      <c r="J11" s="109"/>
      <c r="K11" s="109">
        <f>'[2]สร้างความเข้มแข็งของชุมชน'!G11</f>
        <v>43340</v>
      </c>
      <c r="L11" s="109">
        <f>'[2]ศาสนาวัฒนธรรม'!G11</f>
        <v>44206</v>
      </c>
      <c r="M11" s="109">
        <f>'[2]การเกษตร'!G11</f>
        <v>37870</v>
      </c>
      <c r="N11" s="110">
        <v>0</v>
      </c>
      <c r="O11" s="110">
        <v>0</v>
      </c>
      <c r="P11" s="451">
        <f>SUM(D11:O11)</f>
        <v>2806550</v>
      </c>
      <c r="Q11" s="451">
        <f>P11-C11</f>
        <v>0</v>
      </c>
      <c r="R11" s="111"/>
      <c r="S11" s="111"/>
      <c r="T11" s="111"/>
      <c r="U11" s="111"/>
    </row>
    <row r="12" spans="1:21" s="102" customFormat="1" ht="14.25" customHeight="1">
      <c r="A12" s="104" t="s">
        <v>1107</v>
      </c>
      <c r="B12" s="109">
        <f>'[2]สรุปรายจ่ายตามงบประมาณ '!D303</f>
        <v>1937240</v>
      </c>
      <c r="C12" s="110">
        <f t="shared" si="0"/>
        <v>1528543.91</v>
      </c>
      <c r="D12" s="109">
        <f>'[2]รายจ่ายตามแผนงานรวม'!D12</f>
        <v>468199.9</v>
      </c>
      <c r="E12" s="109">
        <f>'[2]แผนการศึกษา'!H11</f>
        <v>842121.36</v>
      </c>
      <c r="F12" s="109">
        <f>'[2]สาธารณสุข'!H12</f>
        <v>50250</v>
      </c>
      <c r="G12" s="109">
        <f>'[2]การรักษาความสงบภายใน'!H12</f>
        <v>30600</v>
      </c>
      <c r="H12" s="109">
        <f>'[2]สังคมสงเคราะห์'!G12</f>
        <v>10000</v>
      </c>
      <c r="I12" s="109">
        <f>'[2]เคหะและชุมชน'!I12</f>
        <v>127372.65</v>
      </c>
      <c r="J12" s="109">
        <f>'[2]สรุปรายจ่ายตามงบประมาณ '!J286+'[2]สรุปรายจ่ายตามงบประมาณ '!J289</f>
        <v>0</v>
      </c>
      <c r="K12" s="109">
        <f>'[2]สร้างความเข้มแข็งของชุมชน'!G12</f>
        <v>0</v>
      </c>
      <c r="L12" s="109">
        <f>'[2]ศาสนาวัฒนธรรม'!G12</f>
        <v>0</v>
      </c>
      <c r="M12" s="109">
        <f>'[2]การเกษตร'!G12</f>
        <v>0</v>
      </c>
      <c r="N12" s="109">
        <f>'[2]สรุปรายจ่ายตามงบประมาณ '!N286+'[2]สรุปรายจ่ายตามงบประมาณ '!N289</f>
        <v>0</v>
      </c>
      <c r="O12" s="109">
        <f>'[2]สรุปรายจ่ายตามงบประมาณ '!O286+'[2]สรุปรายจ่ายตามงบประมาณ '!O289</f>
        <v>0</v>
      </c>
      <c r="P12" s="451">
        <f aca="true" t="shared" si="1" ref="P12:P17">SUM(D12:O12)</f>
        <v>1528543.91</v>
      </c>
      <c r="Q12" s="451">
        <f aca="true" t="shared" si="2" ref="Q12:Q17">P12-C12</f>
        <v>0</v>
      </c>
      <c r="R12" s="111"/>
      <c r="S12" s="111"/>
      <c r="T12" s="111"/>
      <c r="U12" s="111"/>
    </row>
    <row r="13" spans="1:21" s="102" customFormat="1" ht="14.25" customHeight="1">
      <c r="A13" s="104" t="s">
        <v>1108</v>
      </c>
      <c r="B13" s="109">
        <f>'[2]สรุปรายจ่ายตามงบประมาณ '!D316</f>
        <v>570280</v>
      </c>
      <c r="C13" s="110">
        <f t="shared" si="0"/>
        <v>362833.86</v>
      </c>
      <c r="D13" s="109">
        <f>'[2]รายจ่ายตามแผนงานรวม'!D13</f>
        <v>339990.57</v>
      </c>
      <c r="E13" s="109">
        <f>'[2]แผนการศึกษา'!H12</f>
        <v>22843.29</v>
      </c>
      <c r="F13" s="109">
        <f>'[2]สาธารณสุข'!H13</f>
        <v>0</v>
      </c>
      <c r="G13" s="109">
        <f>'[2]การรักษาความสงบภายใน'!H13</f>
        <v>0</v>
      </c>
      <c r="H13" s="109">
        <f>'[2]สังคมสงเคราะห์'!G13</f>
        <v>0</v>
      </c>
      <c r="I13" s="109">
        <f>'[2]เคหะและชุมชน'!I13</f>
        <v>0</v>
      </c>
      <c r="J13" s="109">
        <v>0</v>
      </c>
      <c r="K13" s="109">
        <f>'[2]สร้างความเข้มแข็งของชุมชน'!G13</f>
        <v>0</v>
      </c>
      <c r="L13" s="109">
        <f>'[2]ศาสนาวัฒนธรรม'!G13</f>
        <v>0</v>
      </c>
      <c r="M13" s="109">
        <f>'[2]การเกษตร'!G13</f>
        <v>0</v>
      </c>
      <c r="N13" s="109">
        <v>0</v>
      </c>
      <c r="O13" s="110">
        <v>0</v>
      </c>
      <c r="P13" s="451">
        <f t="shared" si="1"/>
        <v>362833.86</v>
      </c>
      <c r="Q13" s="451">
        <f t="shared" si="2"/>
        <v>0</v>
      </c>
      <c r="R13" s="111"/>
      <c r="S13" s="111"/>
      <c r="T13" s="111"/>
      <c r="U13" s="111"/>
    </row>
    <row r="14" spans="1:21" s="102" customFormat="1" ht="14.25" customHeight="1">
      <c r="A14" s="104" t="s">
        <v>132</v>
      </c>
      <c r="B14" s="109">
        <f>'[2]สรุปรายจ่ายตามงบประมาณ '!D388</f>
        <v>411800</v>
      </c>
      <c r="C14" s="110">
        <f t="shared" si="0"/>
        <v>316260</v>
      </c>
      <c r="D14" s="109">
        <f>'[2]รายจ่ายตามแผนงานรวม'!D14</f>
        <v>108900</v>
      </c>
      <c r="E14" s="109">
        <f>'[2]แผนการศึกษา'!H13</f>
        <v>44800</v>
      </c>
      <c r="F14" s="109">
        <f>'[2]สาธารณสุข'!H14</f>
        <v>27900</v>
      </c>
      <c r="G14" s="109">
        <f>'[2]การรักษาความสงบภายใน'!H14</f>
        <v>30000</v>
      </c>
      <c r="H14" s="109">
        <f>'[2]สังคมสงเคราะห์'!G14</f>
        <v>0</v>
      </c>
      <c r="I14" s="109">
        <f>'[2]เคหะและชุมชน'!I14</f>
        <v>104660</v>
      </c>
      <c r="J14" s="109">
        <v>0</v>
      </c>
      <c r="K14" s="109">
        <f>'[2]สร้างความเข้มแข็งของชุมชน'!G14</f>
        <v>0</v>
      </c>
      <c r="L14" s="109">
        <f>'[2]ศาสนาวัฒนธรรม'!G14</f>
        <v>0</v>
      </c>
      <c r="M14" s="109">
        <f>'[2]การเกษตร'!G14</f>
        <v>0</v>
      </c>
      <c r="N14" s="110">
        <v>0</v>
      </c>
      <c r="O14" s="110">
        <v>0</v>
      </c>
      <c r="P14" s="451">
        <f t="shared" si="1"/>
        <v>316260</v>
      </c>
      <c r="Q14" s="451">
        <f t="shared" si="2"/>
        <v>0</v>
      </c>
      <c r="R14" s="111"/>
      <c r="S14" s="111"/>
      <c r="T14" s="111"/>
      <c r="U14" s="111"/>
    </row>
    <row r="15" spans="1:19" s="102" customFormat="1" ht="14.25" customHeight="1">
      <c r="A15" s="104" t="s">
        <v>1109</v>
      </c>
      <c r="B15" s="109">
        <f>'[2]สรุปรายจ่ายตามงบประมาณ '!D420</f>
        <v>4820000</v>
      </c>
      <c r="C15" s="110">
        <f t="shared" si="0"/>
        <v>2535700</v>
      </c>
      <c r="D15" s="109">
        <f>'[2]รายจ่ายตามแผนงานรวม'!D15</f>
        <v>0</v>
      </c>
      <c r="E15" s="109">
        <f>'[2]แผนการศึกษา'!H14</f>
        <v>0</v>
      </c>
      <c r="F15" s="109">
        <f>'[2]สาธารณสุข'!H15</f>
        <v>0</v>
      </c>
      <c r="G15" s="109">
        <f>'[2]การรักษาความสงบภายใน'!H15</f>
        <v>0</v>
      </c>
      <c r="H15" s="109">
        <f>'[2]สังคมสงเคราะห์'!G15</f>
        <v>0</v>
      </c>
      <c r="I15" s="109">
        <f>'[2]เคหะและชุมชน'!I15</f>
        <v>2535700</v>
      </c>
      <c r="J15" s="109"/>
      <c r="K15" s="109">
        <f>'[2]สร้างความเข้มแข็งของชุมชน'!G15</f>
        <v>0</v>
      </c>
      <c r="L15" s="109">
        <f>'[2]ศาสนาวัฒนธรรม'!G15</f>
        <v>0</v>
      </c>
      <c r="M15" s="109">
        <f>'[2]การเกษตร'!G15</f>
        <v>0</v>
      </c>
      <c r="N15" s="109"/>
      <c r="O15" s="109"/>
      <c r="P15" s="451">
        <f t="shared" si="1"/>
        <v>2535700</v>
      </c>
      <c r="Q15" s="451">
        <f t="shared" si="2"/>
        <v>0</v>
      </c>
      <c r="R15" s="111"/>
      <c r="S15" s="111"/>
    </row>
    <row r="16" spans="1:21" s="102" customFormat="1" ht="14.25" customHeight="1">
      <c r="A16" s="104" t="s">
        <v>498</v>
      </c>
      <c r="B16" s="109">
        <f>'[2]สรุปรายจ่ายตามงบประมาณ '!D321</f>
        <v>35000</v>
      </c>
      <c r="C16" s="110">
        <f t="shared" si="0"/>
        <v>27000</v>
      </c>
      <c r="D16" s="109">
        <f>'[2]รายจ่ายตามแผนงานรวม'!D16</f>
        <v>27000</v>
      </c>
      <c r="E16" s="109">
        <f>'[2]แผนการศึกษา'!H15</f>
        <v>0</v>
      </c>
      <c r="F16" s="109">
        <f>'[2]สาธารณสุข'!H16</f>
        <v>0</v>
      </c>
      <c r="G16" s="109">
        <f>'[2]การรักษาความสงบภายใน'!H16</f>
        <v>0</v>
      </c>
      <c r="H16" s="109">
        <f>'[2]สังคมสงเคราะห์'!G16</f>
        <v>0</v>
      </c>
      <c r="I16" s="109">
        <f>'[2]เคหะและชุมชน'!I16</f>
        <v>0</v>
      </c>
      <c r="J16" s="109">
        <v>0</v>
      </c>
      <c r="K16" s="109">
        <f>'[2]สร้างความเข้มแข็งของชุมชน'!G16</f>
        <v>0</v>
      </c>
      <c r="L16" s="109">
        <f>'[2]ศาสนาวัฒนธรรม'!G16</f>
        <v>0</v>
      </c>
      <c r="M16" s="109">
        <f>'[2]การเกษตร'!G16</f>
        <v>0</v>
      </c>
      <c r="N16" s="110">
        <v>0</v>
      </c>
      <c r="O16" s="110">
        <v>0</v>
      </c>
      <c r="P16" s="451">
        <f t="shared" si="1"/>
        <v>27000</v>
      </c>
      <c r="Q16" s="451">
        <f t="shared" si="2"/>
        <v>0</v>
      </c>
      <c r="R16" s="111"/>
      <c r="S16" s="111"/>
      <c r="T16" s="111"/>
      <c r="U16" s="111"/>
    </row>
    <row r="17" spans="1:21" s="102" customFormat="1" ht="14.25" customHeight="1">
      <c r="A17" s="104" t="s">
        <v>117</v>
      </c>
      <c r="B17" s="109">
        <f>'[2]สรุปรายจ่ายตามงบประมาณ '!D345</f>
        <v>2007000</v>
      </c>
      <c r="C17" s="110">
        <f t="shared" si="0"/>
        <v>1836000</v>
      </c>
      <c r="D17" s="109">
        <f>'[2]รายจ่ายตามแผนงานรวม'!D17</f>
        <v>0</v>
      </c>
      <c r="E17" s="109">
        <f>'[2]แผนการศึกษา'!H16</f>
        <v>1496000</v>
      </c>
      <c r="F17" s="109">
        <f>'[2]สาธารณสุข'!H17</f>
        <v>340000</v>
      </c>
      <c r="G17" s="109">
        <f>'[2]การรักษาความสงบภายใน'!H17</f>
        <v>0</v>
      </c>
      <c r="H17" s="109">
        <f>'[2]สังคมสงเคราะห์'!G17</f>
        <v>0</v>
      </c>
      <c r="I17" s="109">
        <f>'[2]เคหะและชุมชน'!I17</f>
        <v>0</v>
      </c>
      <c r="J17" s="109"/>
      <c r="K17" s="109">
        <f>'[2]สร้างความเข้มแข็งของชุมชน'!G17</f>
        <v>0</v>
      </c>
      <c r="L17" s="109">
        <f>'[2]ศาสนาวัฒนธรรม'!G17</f>
        <v>0</v>
      </c>
      <c r="M17" s="109">
        <f>'[2]การเกษตร'!G17</f>
        <v>0</v>
      </c>
      <c r="N17" s="110">
        <v>0</v>
      </c>
      <c r="O17" s="110">
        <v>0</v>
      </c>
      <c r="P17" s="451">
        <f t="shared" si="1"/>
        <v>1836000</v>
      </c>
      <c r="Q17" s="451">
        <f t="shared" si="2"/>
        <v>0</v>
      </c>
      <c r="R17" s="111"/>
      <c r="S17" s="111"/>
      <c r="T17" s="111"/>
      <c r="U17" s="111"/>
    </row>
    <row r="18" spans="1:19" s="102" customFormat="1" ht="18" customHeight="1">
      <c r="A18" s="452" t="s">
        <v>60</v>
      </c>
      <c r="B18" s="112">
        <f>SUM(B7:B17)</f>
        <v>46535000</v>
      </c>
      <c r="C18" s="453">
        <f>SUM(C7:C17)</f>
        <v>36049015.769999996</v>
      </c>
      <c r="D18" s="112">
        <f aca="true" t="shared" si="3" ref="D18:N18">SUM(D8:D17)</f>
        <v>9481158.47</v>
      </c>
      <c r="E18" s="112">
        <f t="shared" si="3"/>
        <v>5581596.65</v>
      </c>
      <c r="F18" s="454">
        <f>'[2]สาธารณสุข'!H18</f>
        <v>761602</v>
      </c>
      <c r="G18" s="112">
        <f t="shared" si="3"/>
        <v>141490</v>
      </c>
      <c r="H18" s="112">
        <f t="shared" si="3"/>
        <v>1001772</v>
      </c>
      <c r="I18" s="112">
        <f t="shared" si="3"/>
        <v>4414057.65</v>
      </c>
      <c r="J18" s="112">
        <f t="shared" si="3"/>
        <v>0</v>
      </c>
      <c r="K18" s="112">
        <f t="shared" si="3"/>
        <v>43340</v>
      </c>
      <c r="L18" s="112">
        <f t="shared" si="3"/>
        <v>44206</v>
      </c>
      <c r="M18" s="112">
        <f t="shared" si="3"/>
        <v>178304</v>
      </c>
      <c r="N18" s="112">
        <f t="shared" si="3"/>
        <v>0</v>
      </c>
      <c r="O18" s="112">
        <f>SUM(O7:O17)</f>
        <v>14401489</v>
      </c>
      <c r="P18" s="455">
        <f>SUM(P8:P17)</f>
        <v>21647526.77</v>
      </c>
      <c r="Q18" s="451">
        <f>O18+N18+M18+L18+K18+I18+H18+G18+F18+E18+D18</f>
        <v>36049015.769999996</v>
      </c>
      <c r="R18" s="111"/>
      <c r="S18" s="111"/>
    </row>
    <row r="19" spans="1:19" s="102" customFormat="1" ht="14.25" customHeight="1">
      <c r="A19" s="456" t="s">
        <v>119</v>
      </c>
      <c r="B19" s="457"/>
      <c r="C19" s="457"/>
      <c r="D19" s="114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Q19" s="111">
        <v>0</v>
      </c>
      <c r="R19" s="111"/>
      <c r="S19" s="111"/>
    </row>
    <row r="20" spans="1:19" s="102" customFormat="1" ht="14.25" customHeight="1">
      <c r="A20" s="104" t="s">
        <v>120</v>
      </c>
      <c r="B20" s="109">
        <f>'[2]งบรับ-จ่ายรวมเงินอุดหนุน'!B12</f>
        <v>304000</v>
      </c>
      <c r="C20" s="110">
        <f>'[2]งบรับ-จ่ายรวมเงินอุดหนุน'!C12</f>
        <v>300746.76</v>
      </c>
      <c r="D20" s="110">
        <v>0</v>
      </c>
      <c r="E20" s="110">
        <v>0</v>
      </c>
      <c r="F20" s="109">
        <v>0</v>
      </c>
      <c r="G20" s="109">
        <v>0</v>
      </c>
      <c r="H20" s="109">
        <v>0</v>
      </c>
      <c r="I20" s="109">
        <v>0</v>
      </c>
      <c r="J20" s="109"/>
      <c r="K20" s="109">
        <v>0</v>
      </c>
      <c r="L20" s="109">
        <v>0</v>
      </c>
      <c r="M20" s="109">
        <v>0</v>
      </c>
      <c r="N20" s="109"/>
      <c r="O20" s="109">
        <v>0</v>
      </c>
      <c r="Q20" s="451">
        <f>+Q19-Q18</f>
        <v>-36049015.769999996</v>
      </c>
      <c r="R20" s="111"/>
      <c r="S20" s="111"/>
    </row>
    <row r="21" spans="1:15" s="102" customFormat="1" ht="14.25" customHeight="1">
      <c r="A21" s="104" t="s">
        <v>121</v>
      </c>
      <c r="B21" s="109">
        <f>'[2]งบรับ-จ่ายรวมเงินอุดหนุน'!B39</f>
        <v>184100</v>
      </c>
      <c r="C21" s="110">
        <f>'[2]งบรับ-จ่ายรวมเงินอุดหนุน'!C39</f>
        <v>202158</v>
      </c>
      <c r="D21" s="111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/>
      <c r="K21" s="109">
        <v>0</v>
      </c>
      <c r="L21" s="109">
        <v>0</v>
      </c>
      <c r="M21" s="109">
        <v>0</v>
      </c>
      <c r="N21" s="109"/>
      <c r="O21" s="109">
        <v>0</v>
      </c>
    </row>
    <row r="22" spans="1:18" s="102" customFormat="1" ht="14.25" customHeight="1">
      <c r="A22" s="104" t="s">
        <v>122</v>
      </c>
      <c r="B22" s="109">
        <f>'[2]งบรับ-จ่ายรวมเงินอุดหนุน'!B42</f>
        <v>131000</v>
      </c>
      <c r="C22" s="110">
        <f>'[2]งบรับ-จ่ายรวมเงินอุดหนุน'!C42</f>
        <v>187567.88</v>
      </c>
      <c r="D22" s="111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/>
      <c r="K22" s="109">
        <v>0</v>
      </c>
      <c r="L22" s="109">
        <v>0</v>
      </c>
      <c r="M22" s="109">
        <v>0</v>
      </c>
      <c r="N22" s="109"/>
      <c r="O22" s="109">
        <v>0</v>
      </c>
      <c r="R22" s="114"/>
    </row>
    <row r="23" spans="1:15" s="102" customFormat="1" ht="14.25" customHeight="1">
      <c r="A23" s="104" t="s">
        <v>123</v>
      </c>
      <c r="B23" s="109">
        <f>'[2]งบรับ-จ่ายรวมเงินอุดหนุน'!B51</f>
        <v>136400</v>
      </c>
      <c r="C23" s="110">
        <f>'[2]งบรับ-จ่ายรวมเงินอุดหนุน'!C51</f>
        <v>4323</v>
      </c>
      <c r="D23" s="111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/>
      <c r="K23" s="109">
        <v>0</v>
      </c>
      <c r="L23" s="109">
        <v>0</v>
      </c>
      <c r="M23" s="109">
        <v>0</v>
      </c>
      <c r="N23" s="109"/>
      <c r="O23" s="109">
        <v>0</v>
      </c>
    </row>
    <row r="24" spans="1:15" s="102" customFormat="1" ht="14.25" customHeight="1">
      <c r="A24" s="104" t="s">
        <v>487</v>
      </c>
      <c r="B24" s="109">
        <f>'[2]งบรับ-จ่ายรวมเงินอุดหนุน'!B54</f>
        <v>500</v>
      </c>
      <c r="C24" s="110">
        <f>'[2]งบรับ-จ่ายรวมเงินอุดหนุน'!C54</f>
        <v>0</v>
      </c>
      <c r="D24" s="111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/>
      <c r="K24" s="109">
        <v>0</v>
      </c>
      <c r="L24" s="109">
        <v>0</v>
      </c>
      <c r="M24" s="109">
        <v>0</v>
      </c>
      <c r="N24" s="109"/>
      <c r="O24" s="109">
        <v>0</v>
      </c>
    </row>
    <row r="25" spans="1:15" s="102" customFormat="1" ht="14.25" customHeight="1">
      <c r="A25" s="104" t="s">
        <v>124</v>
      </c>
      <c r="B25" s="109">
        <f>'[2]งบรับ-จ่ายรวมเงินอุดหนุน'!B23</f>
        <v>18564000</v>
      </c>
      <c r="C25" s="110">
        <f>'[2]งบรับ-จ่ายรวมเงินอุดหนุน'!C23</f>
        <v>19936365.63</v>
      </c>
      <c r="D25" s="111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/>
      <c r="K25" s="109">
        <v>0</v>
      </c>
      <c r="L25" s="109">
        <v>0</v>
      </c>
      <c r="M25" s="109">
        <v>0</v>
      </c>
      <c r="N25" s="109"/>
      <c r="O25" s="109">
        <v>0</v>
      </c>
    </row>
    <row r="26" spans="1:15" s="102" customFormat="1" ht="14.25" customHeight="1">
      <c r="A26" s="104" t="s">
        <v>125</v>
      </c>
      <c r="B26" s="109">
        <f>'[2]งบรับ-จ่ายรวมเงินอุดหนุน'!B60</f>
        <v>27215000</v>
      </c>
      <c r="C26" s="110">
        <f>'[2]งบรับ-จ่ายรวมเงินอุดหนุน'!C60</f>
        <v>22350376</v>
      </c>
      <c r="D26" s="111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/>
      <c r="K26" s="109">
        <v>0</v>
      </c>
      <c r="L26" s="109">
        <v>0</v>
      </c>
      <c r="M26" s="109">
        <v>0</v>
      </c>
      <c r="N26" s="109"/>
      <c r="O26" s="109">
        <v>0</v>
      </c>
    </row>
    <row r="27" spans="1:15" s="102" customFormat="1" ht="14.25" customHeight="1">
      <c r="A27" s="104" t="s">
        <v>142</v>
      </c>
      <c r="B27" s="109">
        <v>0</v>
      </c>
      <c r="C27" s="109">
        <f>'[2]งบรับ-จ่ายรวมเงินอุดหนุน'!C58</f>
        <v>0</v>
      </c>
      <c r="D27" s="111">
        <v>0</v>
      </c>
      <c r="E27" s="109">
        <v>0</v>
      </c>
      <c r="F27" s="109">
        <v>0</v>
      </c>
      <c r="G27" s="109">
        <v>0</v>
      </c>
      <c r="H27" s="109"/>
      <c r="I27" s="109">
        <v>0</v>
      </c>
      <c r="J27" s="109"/>
      <c r="K27" s="109">
        <v>0</v>
      </c>
      <c r="L27" s="109">
        <v>0</v>
      </c>
      <c r="M27" s="109">
        <v>0</v>
      </c>
      <c r="N27" s="109"/>
      <c r="O27" s="109">
        <v>0</v>
      </c>
    </row>
    <row r="28" spans="1:15" s="102" customFormat="1" ht="14.25" customHeight="1">
      <c r="A28" s="458" t="s">
        <v>486</v>
      </c>
      <c r="B28" s="109"/>
      <c r="C28" s="109">
        <f>'[2]งบรับ-จ่ายรวมเงินอุดหนุน'!C59</f>
        <v>0</v>
      </c>
      <c r="D28" s="111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s="102" customFormat="1" ht="14.25" customHeight="1">
      <c r="A29" s="459" t="s">
        <v>60</v>
      </c>
      <c r="B29" s="460">
        <f aca="true" t="shared" si="4" ref="B29:I29">SUM(B20:B27)</f>
        <v>46535000</v>
      </c>
      <c r="C29" s="454">
        <f>SUM(C20:C28)</f>
        <v>42981537.269999996</v>
      </c>
      <c r="D29" s="454">
        <f t="shared" si="4"/>
        <v>0</v>
      </c>
      <c r="E29" s="454">
        <f t="shared" si="4"/>
        <v>0</v>
      </c>
      <c r="F29" s="454">
        <f t="shared" si="4"/>
        <v>0</v>
      </c>
      <c r="G29" s="454">
        <f t="shared" si="4"/>
        <v>0</v>
      </c>
      <c r="H29" s="454">
        <f t="shared" si="4"/>
        <v>0</v>
      </c>
      <c r="I29" s="454">
        <f t="shared" si="4"/>
        <v>0</v>
      </c>
      <c r="J29" s="454"/>
      <c r="K29" s="454">
        <f>SUM(K20:K27)</f>
        <v>0</v>
      </c>
      <c r="L29" s="454">
        <f>SUM(L20:L27)</f>
        <v>0</v>
      </c>
      <c r="M29" s="454">
        <f>SUM(M20:M27)</f>
        <v>0</v>
      </c>
      <c r="N29" s="454"/>
      <c r="O29" s="454">
        <f>SUM(O20:O27)</f>
        <v>0</v>
      </c>
    </row>
    <row r="30" spans="1:15" ht="14.25" customHeight="1" thickBot="1">
      <c r="A30" s="710" t="s">
        <v>126</v>
      </c>
      <c r="B30" s="711"/>
      <c r="C30" s="86">
        <f>C29-C18</f>
        <v>6932521.5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80"/>
    </row>
    <row r="31" spans="1:15" ht="14.25" customHeight="1" thickTop="1">
      <c r="A31" s="79"/>
      <c r="B31" s="182"/>
      <c r="C31" s="8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80"/>
    </row>
    <row r="32" spans="1:15" s="102" customFormat="1" ht="14.25" customHeight="1">
      <c r="A32" s="705" t="s">
        <v>685</v>
      </c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</row>
    <row r="34" spans="1:3" ht="18">
      <c r="A34" s="80"/>
      <c r="C34" s="80"/>
    </row>
    <row r="35" spans="1:3" ht="18">
      <c r="A35" s="80"/>
      <c r="C35" s="80"/>
    </row>
    <row r="36" spans="1:3" ht="18">
      <c r="A36" s="80"/>
      <c r="C36" s="80"/>
    </row>
    <row r="37" spans="1:3" ht="18">
      <c r="A37" s="80"/>
      <c r="C37" s="80"/>
    </row>
    <row r="38" spans="1:3" ht="18">
      <c r="A38" s="80"/>
      <c r="C38" s="80"/>
    </row>
    <row r="39" spans="1:3" ht="18">
      <c r="A39" s="80"/>
      <c r="C39" s="80"/>
    </row>
    <row r="40" ht="18">
      <c r="C40" s="80"/>
    </row>
    <row r="41" spans="3:6" ht="18.75">
      <c r="C41" s="85"/>
      <c r="E41" s="81"/>
      <c r="F41" s="82"/>
    </row>
    <row r="42" spans="3:5" ht="18">
      <c r="C42" s="80"/>
      <c r="E42" s="83"/>
    </row>
    <row r="43" spans="1:3" ht="18">
      <c r="A43" s="80"/>
      <c r="C43" s="80"/>
    </row>
    <row r="44" spans="2:3" ht="18">
      <c r="B44" s="114"/>
      <c r="C44" s="85"/>
    </row>
  </sheetData>
  <sheetProtection/>
  <mergeCells count="20">
    <mergeCell ref="N4:N5"/>
    <mergeCell ref="O4:O5"/>
    <mergeCell ref="A30:B30"/>
    <mergeCell ref="G4:G5"/>
    <mergeCell ref="H4:H5"/>
    <mergeCell ref="I4:I5"/>
    <mergeCell ref="K4:K5"/>
    <mergeCell ref="L4:L5"/>
    <mergeCell ref="M4:M5"/>
    <mergeCell ref="J4:J5"/>
    <mergeCell ref="A32:O32"/>
    <mergeCell ref="A1:O1"/>
    <mergeCell ref="A2:O2"/>
    <mergeCell ref="A3:O3"/>
    <mergeCell ref="A4:A5"/>
    <mergeCell ref="B4:B5"/>
    <mergeCell ref="C4:C5"/>
    <mergeCell ref="D4:D5"/>
    <mergeCell ref="E4:E5"/>
    <mergeCell ref="F4:F5"/>
  </mergeCells>
  <printOptions horizontalCentered="1"/>
  <pageMargins left="0.11" right="0.21" top="0.3937007874015748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6.140625" style="84" customWidth="1"/>
    <col min="2" max="2" width="5.7109375" style="84" customWidth="1"/>
    <col min="3" max="3" width="28.421875" style="84" customWidth="1"/>
    <col min="4" max="4" width="9.00390625" style="158" customWidth="1"/>
    <col min="5" max="5" width="9.00390625" style="84" customWidth="1"/>
    <col min="6" max="6" width="15.28125" style="84" customWidth="1"/>
    <col min="7" max="7" width="4.421875" style="602" customWidth="1"/>
    <col min="8" max="8" width="15.00390625" style="97" customWidth="1"/>
    <col min="9" max="10" width="9.00390625" style="84" customWidth="1"/>
    <col min="11" max="11" width="17.28125" style="84" customWidth="1"/>
    <col min="12" max="16384" width="9.00390625" style="84" customWidth="1"/>
  </cols>
  <sheetData>
    <row r="1" spans="1:8" s="157" customFormat="1" ht="22.5">
      <c r="A1" s="620" t="s">
        <v>447</v>
      </c>
      <c r="B1" s="620"/>
      <c r="C1" s="620"/>
      <c r="D1" s="620"/>
      <c r="E1" s="621"/>
      <c r="F1" s="621"/>
      <c r="G1" s="621"/>
      <c r="H1" s="621"/>
    </row>
    <row r="2" spans="1:8" s="157" customFormat="1" ht="22.5">
      <c r="A2" s="620" t="s">
        <v>0</v>
      </c>
      <c r="B2" s="620"/>
      <c r="C2" s="620"/>
      <c r="D2" s="620"/>
      <c r="E2" s="621"/>
      <c r="F2" s="621"/>
      <c r="G2" s="621"/>
      <c r="H2" s="621"/>
    </row>
    <row r="3" spans="1:8" s="157" customFormat="1" ht="22.5">
      <c r="A3" s="620" t="s">
        <v>1071</v>
      </c>
      <c r="B3" s="620"/>
      <c r="C3" s="620"/>
      <c r="D3" s="620"/>
      <c r="E3" s="621"/>
      <c r="F3" s="621"/>
      <c r="G3" s="621"/>
      <c r="H3" s="621"/>
    </row>
    <row r="4" spans="1:8" ht="22.5">
      <c r="A4" s="409"/>
      <c r="B4" s="409"/>
      <c r="C4" s="409"/>
      <c r="D4" s="409" t="s">
        <v>18</v>
      </c>
      <c r="E4" s="157"/>
      <c r="F4" s="410" t="s">
        <v>879</v>
      </c>
      <c r="G4" s="603"/>
      <c r="H4" s="410" t="s">
        <v>880</v>
      </c>
    </row>
    <row r="5" spans="1:8" ht="23.25" thickBot="1">
      <c r="A5" s="98" t="s">
        <v>1</v>
      </c>
      <c r="B5" s="98"/>
      <c r="C5" s="98"/>
      <c r="D5" s="294">
        <v>2</v>
      </c>
      <c r="F5" s="405">
        <v>29114252.54</v>
      </c>
      <c r="G5" s="604"/>
      <c r="H5" s="205">
        <v>28517892.54</v>
      </c>
    </row>
    <row r="6" spans="1:4" ht="23.25" thickTop="1">
      <c r="A6" s="159" t="s">
        <v>2</v>
      </c>
      <c r="B6" s="98"/>
      <c r="C6" s="98"/>
      <c r="D6" s="294"/>
    </row>
    <row r="7" spans="2:7" ht="22.5">
      <c r="B7" s="98" t="s">
        <v>3</v>
      </c>
      <c r="C7" s="98"/>
      <c r="D7" s="294"/>
      <c r="F7" s="97"/>
      <c r="G7" s="605"/>
    </row>
    <row r="8" spans="3:8" ht="22.5">
      <c r="C8" s="84" t="s">
        <v>4</v>
      </c>
      <c r="D8" s="294">
        <v>3</v>
      </c>
      <c r="F8" s="97">
        <v>30598870.01</v>
      </c>
      <c r="G8" s="605"/>
      <c r="H8" s="160">
        <v>23996990.05</v>
      </c>
    </row>
    <row r="9" spans="3:8" ht="22.5">
      <c r="C9" s="84" t="s">
        <v>5</v>
      </c>
      <c r="D9" s="294"/>
      <c r="F9" s="97"/>
      <c r="G9" s="605"/>
      <c r="H9" s="97">
        <v>0</v>
      </c>
    </row>
    <row r="10" spans="3:8" ht="22.5">
      <c r="C10" s="84" t="s">
        <v>6</v>
      </c>
      <c r="D10" s="294"/>
      <c r="F10" s="97"/>
      <c r="G10" s="605"/>
      <c r="H10" s="97">
        <v>0</v>
      </c>
    </row>
    <row r="11" spans="3:8" ht="22.5">
      <c r="C11" s="84" t="s">
        <v>7</v>
      </c>
      <c r="D11" s="294">
        <v>4</v>
      </c>
      <c r="F11" s="97">
        <v>42400</v>
      </c>
      <c r="G11" s="605"/>
      <c r="H11" s="97">
        <v>42400</v>
      </c>
    </row>
    <row r="12" spans="3:8" ht="22.5">
      <c r="C12" s="84" t="s">
        <v>8</v>
      </c>
      <c r="D12" s="294">
        <v>5</v>
      </c>
      <c r="F12" s="97">
        <v>53419.68</v>
      </c>
      <c r="G12" s="605"/>
      <c r="H12" s="97">
        <v>77762.86</v>
      </c>
    </row>
    <row r="13" spans="3:8" ht="22.5">
      <c r="C13" s="84" t="s">
        <v>9</v>
      </c>
      <c r="D13" s="294">
        <v>6</v>
      </c>
      <c r="F13" s="97"/>
      <c r="G13" s="605"/>
      <c r="H13" s="97">
        <f>'[1]ลูกหนี้รายได้อื่น'!E18</f>
        <v>0</v>
      </c>
    </row>
    <row r="14" spans="3:8" ht="22.5">
      <c r="C14" s="84" t="s">
        <v>485</v>
      </c>
      <c r="D14" s="294"/>
      <c r="F14" s="97">
        <v>1727584</v>
      </c>
      <c r="G14" s="605"/>
      <c r="H14" s="160">
        <v>1727584</v>
      </c>
    </row>
    <row r="15" spans="3:8" ht="22.5">
      <c r="C15" s="84" t="s">
        <v>1110</v>
      </c>
      <c r="D15" s="294"/>
      <c r="F15" s="97">
        <v>13518.75</v>
      </c>
      <c r="G15" s="605"/>
      <c r="H15" s="160">
        <v>25518.75</v>
      </c>
    </row>
    <row r="16" spans="3:8" ht="22.5">
      <c r="C16" s="84" t="s">
        <v>103</v>
      </c>
      <c r="D16" s="294"/>
      <c r="F16" s="97">
        <v>42400</v>
      </c>
      <c r="G16" s="605"/>
      <c r="H16" s="160"/>
    </row>
    <row r="17" spans="3:7" ht="22.5">
      <c r="C17" s="84" t="s">
        <v>11</v>
      </c>
      <c r="D17" s="294"/>
      <c r="F17" s="97"/>
      <c r="G17" s="605"/>
    </row>
    <row r="18" spans="3:15" ht="22.5">
      <c r="C18" s="98" t="s">
        <v>12</v>
      </c>
      <c r="D18" s="294"/>
      <c r="F18" s="161">
        <f>SUM(F7:F17)</f>
        <v>32478192.44</v>
      </c>
      <c r="G18" s="604"/>
      <c r="H18" s="161">
        <f>SUM(H8:H17)</f>
        <v>25870255.66</v>
      </c>
      <c r="O18" s="402"/>
    </row>
    <row r="19" spans="2:4" ht="22.5">
      <c r="B19" s="98" t="s">
        <v>13</v>
      </c>
      <c r="C19" s="98"/>
      <c r="D19" s="294"/>
    </row>
    <row r="20" spans="3:8" ht="22.5">
      <c r="C20" s="84" t="s">
        <v>14</v>
      </c>
      <c r="D20" s="294"/>
      <c r="H20" s="97">
        <v>0</v>
      </c>
    </row>
    <row r="21" spans="3:8" ht="22.5">
      <c r="C21" s="84" t="s">
        <v>15</v>
      </c>
      <c r="D21" s="294"/>
      <c r="H21" s="97">
        <v>0</v>
      </c>
    </row>
    <row r="22" spans="3:8" ht="22.5">
      <c r="C22" s="84" t="s">
        <v>16</v>
      </c>
      <c r="D22" s="294"/>
      <c r="F22" s="403"/>
      <c r="H22" s="97">
        <v>0</v>
      </c>
    </row>
    <row r="23" spans="3:8" ht="22.5">
      <c r="C23" s="98" t="s">
        <v>17</v>
      </c>
      <c r="D23" s="294"/>
      <c r="H23" s="162">
        <v>0</v>
      </c>
    </row>
    <row r="24" spans="1:8" s="157" customFormat="1" ht="23.25" thickBot="1">
      <c r="A24" s="163" t="s">
        <v>19</v>
      </c>
      <c r="B24" s="163"/>
      <c r="D24" s="294"/>
      <c r="F24" s="404">
        <f>F18+F23</f>
        <v>32478192.44</v>
      </c>
      <c r="G24" s="606"/>
      <c r="H24" s="164">
        <f>H18+H23</f>
        <v>25870255.66</v>
      </c>
    </row>
    <row r="25" spans="1:8" s="157" customFormat="1" ht="23.25" thickTop="1">
      <c r="A25" s="163"/>
      <c r="B25" s="163"/>
      <c r="D25" s="294"/>
      <c r="F25" s="606"/>
      <c r="G25" s="606"/>
      <c r="H25" s="165"/>
    </row>
    <row r="26" spans="1:8" s="157" customFormat="1" ht="12" customHeight="1">
      <c r="A26" s="163"/>
      <c r="B26" s="163"/>
      <c r="D26" s="294"/>
      <c r="G26" s="607"/>
      <c r="H26" s="165"/>
    </row>
    <row r="27" spans="1:8" ht="23.25" thickBot="1">
      <c r="A27" s="98" t="s">
        <v>20</v>
      </c>
      <c r="B27" s="98"/>
      <c r="C27" s="98"/>
      <c r="D27" s="294">
        <v>2</v>
      </c>
      <c r="F27" s="405">
        <v>29114252.54</v>
      </c>
      <c r="G27" s="604"/>
      <c r="H27" s="205">
        <v>28517892.54</v>
      </c>
    </row>
    <row r="28" spans="1:4" ht="23.25" thickTop="1">
      <c r="A28" s="159" t="s">
        <v>21</v>
      </c>
      <c r="B28" s="98"/>
      <c r="C28" s="98"/>
      <c r="D28" s="294"/>
    </row>
    <row r="29" spans="2:4" ht="22.5">
      <c r="B29" s="622" t="s">
        <v>22</v>
      </c>
      <c r="C29" s="622"/>
      <c r="D29" s="294"/>
    </row>
    <row r="30" spans="3:8" ht="22.5">
      <c r="C30" s="84" t="s">
        <v>23</v>
      </c>
      <c r="D30" s="294">
        <v>7</v>
      </c>
      <c r="F30" s="97">
        <v>1439300</v>
      </c>
      <c r="G30" s="605"/>
      <c r="H30" s="97">
        <v>271894.68</v>
      </c>
    </row>
    <row r="31" spans="3:8" ht="22.5">
      <c r="C31" s="84" t="s">
        <v>24</v>
      </c>
      <c r="D31" s="294"/>
      <c r="H31" s="97">
        <v>0</v>
      </c>
    </row>
    <row r="32" spans="3:8" ht="22.5">
      <c r="C32" s="84" t="s">
        <v>25</v>
      </c>
      <c r="D32" s="294"/>
      <c r="H32" s="97">
        <v>0</v>
      </c>
    </row>
    <row r="33" spans="3:8" ht="22.5">
      <c r="C33" s="84" t="s">
        <v>26</v>
      </c>
      <c r="D33" s="294">
        <v>8</v>
      </c>
      <c r="F33" s="97">
        <v>2380371.55</v>
      </c>
      <c r="G33" s="605"/>
      <c r="H33" s="160">
        <v>2457434.37</v>
      </c>
    </row>
    <row r="34" spans="3:8" ht="22.5">
      <c r="C34" s="84" t="s">
        <v>679</v>
      </c>
      <c r="D34" s="294"/>
      <c r="H34" s="160">
        <v>39041</v>
      </c>
    </row>
    <row r="35" spans="3:8" ht="22.5">
      <c r="C35" s="84" t="s">
        <v>27</v>
      </c>
      <c r="D35" s="294"/>
      <c r="H35" s="97">
        <v>0</v>
      </c>
    </row>
    <row r="36" spans="3:8" ht="22.5">
      <c r="C36" s="98" t="s">
        <v>28</v>
      </c>
      <c r="D36" s="294"/>
      <c r="F36" s="406">
        <f>SUM(F30:F35)</f>
        <v>3819671.55</v>
      </c>
      <c r="G36" s="608"/>
      <c r="H36" s="161">
        <f>SUM(H30:H35)</f>
        <v>2768370.0500000003</v>
      </c>
    </row>
    <row r="37" spans="2:4" ht="22.5">
      <c r="B37" s="622" t="s">
        <v>29</v>
      </c>
      <c r="C37" s="622"/>
      <c r="D37" s="294"/>
    </row>
    <row r="38" spans="3:8" ht="22.5">
      <c r="C38" s="84" t="s">
        <v>30</v>
      </c>
      <c r="D38" s="294"/>
      <c r="F38" s="97"/>
      <c r="G38" s="605"/>
      <c r="H38" s="97">
        <v>0</v>
      </c>
    </row>
    <row r="39" spans="3:8" ht="22.5">
      <c r="C39" s="84" t="s">
        <v>104</v>
      </c>
      <c r="D39" s="294"/>
      <c r="F39" s="97">
        <v>42400</v>
      </c>
      <c r="G39" s="605"/>
      <c r="H39" s="97">
        <v>0</v>
      </c>
    </row>
    <row r="40" spans="3:8" ht="22.5">
      <c r="C40" s="84" t="s">
        <v>31</v>
      </c>
      <c r="D40" s="294"/>
      <c r="F40" s="97"/>
      <c r="G40" s="605"/>
      <c r="H40" s="97">
        <v>0</v>
      </c>
    </row>
    <row r="41" spans="3:8" ht="22.5">
      <c r="C41" s="98" t="s">
        <v>32</v>
      </c>
      <c r="D41" s="294"/>
      <c r="F41" s="97">
        <f>SUM(F38:F40)</f>
        <v>42400</v>
      </c>
      <c r="G41" s="605"/>
      <c r="H41" s="99">
        <f>SUM(H38:H40)</f>
        <v>0</v>
      </c>
    </row>
    <row r="42" spans="2:8" ht="22.5">
      <c r="B42" s="98"/>
      <c r="C42" s="98" t="s">
        <v>33</v>
      </c>
      <c r="D42" s="294"/>
      <c r="F42" s="161">
        <f>F36+F41</f>
        <v>3862071.55</v>
      </c>
      <c r="G42" s="604"/>
      <c r="H42" s="161">
        <f>H36+H41</f>
        <v>2768370.0500000003</v>
      </c>
    </row>
    <row r="43" spans="1:7" ht="22.5">
      <c r="A43" s="98" t="s">
        <v>34</v>
      </c>
      <c r="D43" s="294"/>
      <c r="F43" s="97"/>
      <c r="G43" s="605"/>
    </row>
    <row r="44" spans="2:8" s="157" customFormat="1" ht="22.5">
      <c r="B44" s="157" t="s">
        <v>34</v>
      </c>
      <c r="D44" s="294">
        <v>9</v>
      </c>
      <c r="F44" s="160">
        <v>13915493.04</v>
      </c>
      <c r="G44" s="609"/>
      <c r="H44" s="160">
        <v>10131317.16</v>
      </c>
    </row>
    <row r="45" spans="2:8" s="157" customFormat="1" ht="22.5">
      <c r="B45" s="157" t="s">
        <v>35</v>
      </c>
      <c r="D45" s="294">
        <v>10</v>
      </c>
      <c r="F45" s="160">
        <v>14700627.85</v>
      </c>
      <c r="G45" s="609"/>
      <c r="H45" s="160">
        <v>12970568.45</v>
      </c>
    </row>
    <row r="46" spans="2:8" ht="22.5">
      <c r="B46" s="623" t="s">
        <v>36</v>
      </c>
      <c r="C46" s="623"/>
      <c r="D46" s="294"/>
      <c r="F46" s="161">
        <f>SUM(F44:F45)</f>
        <v>28616120.89</v>
      </c>
      <c r="G46" s="604"/>
      <c r="H46" s="166">
        <f>SUM(H44:H45)</f>
        <v>23101885.61</v>
      </c>
    </row>
    <row r="47" spans="1:8" ht="23.25" thickBot="1">
      <c r="A47" s="98" t="s">
        <v>37</v>
      </c>
      <c r="B47" s="98"/>
      <c r="D47" s="294"/>
      <c r="F47" s="407">
        <f>F42+F46</f>
        <v>32478192.44</v>
      </c>
      <c r="G47" s="608"/>
      <c r="H47" s="164">
        <f>H46+H42</f>
        <v>25870255.66</v>
      </c>
    </row>
    <row r="48" ht="14.25" customHeight="1" thickTop="1"/>
    <row r="49" spans="1:5" ht="22.5">
      <c r="A49" s="619" t="s">
        <v>1137</v>
      </c>
      <c r="B49" s="619"/>
      <c r="C49" s="619"/>
      <c r="D49" s="619"/>
      <c r="E49" s="619"/>
    </row>
    <row r="50" spans="3:5" ht="10.5" customHeight="1">
      <c r="C50" s="270"/>
      <c r="D50" s="84"/>
      <c r="E50" s="158"/>
    </row>
    <row r="51" ht="22.5">
      <c r="B51" s="84" t="s">
        <v>1141</v>
      </c>
    </row>
    <row r="52" ht="22.5">
      <c r="B52" s="84" t="s">
        <v>1142</v>
      </c>
    </row>
    <row r="53" ht="22.5">
      <c r="B53" s="84" t="s">
        <v>1143</v>
      </c>
    </row>
    <row r="54" ht="22.5">
      <c r="F54" s="84" t="s">
        <v>1144</v>
      </c>
    </row>
  </sheetData>
  <sheetProtection/>
  <mergeCells count="7">
    <mergeCell ref="A49:E49"/>
    <mergeCell ref="A1:H1"/>
    <mergeCell ref="A2:H2"/>
    <mergeCell ref="A3:H3"/>
    <mergeCell ref="B29:C29"/>
    <mergeCell ref="B37:C37"/>
    <mergeCell ref="B46:C46"/>
  </mergeCells>
  <printOptions horizontalCentered="1"/>
  <pageMargins left="1.299212598425197" right="0" top="0.1968503937007874" bottom="0" header="0.15748031496062992" footer="0.15748031496062992"/>
  <pageSetup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3"/>
  <sheetViews>
    <sheetView zoomScale="130" zoomScaleNormal="130" zoomScalePageLayoutView="0" workbookViewId="0" topLeftCell="A1">
      <selection activeCell="G23" sqref="G23"/>
    </sheetView>
  </sheetViews>
  <sheetFormatPr defaultColWidth="9.140625" defaultRowHeight="15"/>
  <cols>
    <col min="1" max="1" width="17.8515625" style="0" customWidth="1"/>
    <col min="2" max="2" width="9.57421875" style="183" customWidth="1"/>
    <col min="3" max="3" width="10.421875" style="0" customWidth="1"/>
    <col min="4" max="4" width="9.57421875" style="0" customWidth="1"/>
    <col min="5" max="5" width="9.421875" style="0" customWidth="1"/>
    <col min="6" max="6" width="8.421875" style="0" customWidth="1"/>
    <col min="7" max="7" width="8.28125" style="0" customWidth="1"/>
    <col min="8" max="8" width="9.00390625" style="0" customWidth="1"/>
    <col min="9" max="9" width="9.140625" style="0" customWidth="1"/>
    <col min="10" max="10" width="6.00390625" style="0" customWidth="1"/>
    <col min="11" max="11" width="7.140625" style="0" customWidth="1"/>
    <col min="12" max="12" width="7.57421875" style="0" customWidth="1"/>
    <col min="13" max="13" width="8.00390625" style="0" customWidth="1"/>
    <col min="14" max="14" width="4.57421875" style="0" customWidth="1"/>
    <col min="15" max="15" width="10.140625" style="0" customWidth="1"/>
    <col min="16" max="16" width="10.421875" style="0" customWidth="1"/>
    <col min="17" max="17" width="9.28125" style="0" customWidth="1"/>
    <col min="18" max="18" width="12.140625" style="0" bestFit="1" customWidth="1"/>
    <col min="20" max="20" width="11.8515625" style="0" bestFit="1" customWidth="1"/>
  </cols>
  <sheetData>
    <row r="1" spans="1:15" s="183" customFormat="1" ht="14.25" customHeight="1">
      <c r="A1" s="706" t="s">
        <v>360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</row>
    <row r="2" spans="1:15" s="183" customFormat="1" ht="14.25" customHeight="1">
      <c r="A2" s="706" t="s">
        <v>143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1:15" s="183" customFormat="1" ht="14.25" customHeight="1">
      <c r="A3" s="706" t="s">
        <v>1103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</row>
    <row r="4" spans="1:15" ht="14.25" customHeight="1">
      <c r="A4" s="707" t="s">
        <v>64</v>
      </c>
      <c r="B4" s="708" t="s">
        <v>106</v>
      </c>
      <c r="C4" s="707" t="s">
        <v>60</v>
      </c>
      <c r="D4" s="707" t="s">
        <v>81</v>
      </c>
      <c r="E4" s="707" t="s">
        <v>88</v>
      </c>
      <c r="F4" s="707" t="s">
        <v>84</v>
      </c>
      <c r="G4" s="707" t="s">
        <v>107</v>
      </c>
      <c r="H4" s="707" t="s">
        <v>108</v>
      </c>
      <c r="I4" s="707" t="s">
        <v>83</v>
      </c>
      <c r="J4" s="707" t="s">
        <v>484</v>
      </c>
      <c r="K4" s="712" t="s">
        <v>109</v>
      </c>
      <c r="L4" s="714" t="s">
        <v>110</v>
      </c>
      <c r="M4" s="707" t="s">
        <v>111</v>
      </c>
      <c r="N4" s="707" t="s">
        <v>112</v>
      </c>
      <c r="O4" s="707" t="s">
        <v>113</v>
      </c>
    </row>
    <row r="5" spans="1:15" ht="30.75" customHeight="1">
      <c r="A5" s="702"/>
      <c r="B5" s="709"/>
      <c r="C5" s="702"/>
      <c r="D5" s="702"/>
      <c r="E5" s="702"/>
      <c r="F5" s="702"/>
      <c r="G5" s="702"/>
      <c r="H5" s="702"/>
      <c r="I5" s="702"/>
      <c r="J5" s="702"/>
      <c r="K5" s="713"/>
      <c r="L5" s="715"/>
      <c r="M5" s="702"/>
      <c r="N5" s="702"/>
      <c r="O5" s="702"/>
    </row>
    <row r="6" spans="1:21" s="10" customFormat="1" ht="14.25" customHeight="1">
      <c r="A6" s="103" t="s">
        <v>114</v>
      </c>
      <c r="B6" s="104"/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R6" s="72"/>
      <c r="S6" s="72"/>
      <c r="T6" s="73"/>
      <c r="U6" s="73"/>
    </row>
    <row r="7" spans="1:21" s="10" customFormat="1" ht="14.25" customHeight="1">
      <c r="A7" s="104" t="s">
        <v>489</v>
      </c>
      <c r="B7" s="109">
        <f>'[2]สรุปรายจ่ายตามงบประมาณ '!D15</f>
        <v>16194980</v>
      </c>
      <c r="C7" s="110">
        <f>SUM(D7:O7)</f>
        <v>14401489</v>
      </c>
      <c r="D7" s="109"/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/>
      <c r="K7" s="109">
        <v>0</v>
      </c>
      <c r="L7" s="109">
        <v>0</v>
      </c>
      <c r="M7" s="109">
        <v>0</v>
      </c>
      <c r="N7" s="110">
        <v>0</v>
      </c>
      <c r="O7" s="109">
        <f>'[2]แผนงานงบกลาง'!F8</f>
        <v>14401489</v>
      </c>
      <c r="P7" s="85">
        <f>SUM(D7:O7)</f>
        <v>14401489</v>
      </c>
      <c r="Q7" s="85">
        <f>P7-C7</f>
        <v>0</v>
      </c>
      <c r="R7" s="77"/>
      <c r="S7" s="77"/>
      <c r="T7" s="77"/>
      <c r="U7" s="77"/>
    </row>
    <row r="8" spans="1:21" s="10" customFormat="1" ht="14.25" customHeight="1">
      <c r="A8" s="104" t="s">
        <v>495</v>
      </c>
      <c r="B8" s="109">
        <f>'[2]สรุปรายจ่ายตามงบประมาณ '!D23</f>
        <v>3155120</v>
      </c>
      <c r="C8" s="110">
        <f aca="true" t="shared" si="0" ref="C8:C17">SUM(D8:O8)</f>
        <v>2868085</v>
      </c>
      <c r="D8" s="109">
        <f>'[2]แผนบริหารงานทั่วไป'!H8</f>
        <v>2868085</v>
      </c>
      <c r="E8" s="109"/>
      <c r="F8" s="109">
        <v>0</v>
      </c>
      <c r="G8" s="109">
        <f>'[2]การรักษาความสงบภายใน'!H8</f>
        <v>0</v>
      </c>
      <c r="H8" s="109"/>
      <c r="I8" s="109">
        <v>0</v>
      </c>
      <c r="J8" s="109"/>
      <c r="K8" s="109">
        <v>0</v>
      </c>
      <c r="L8" s="109">
        <v>0</v>
      </c>
      <c r="M8" s="109">
        <v>0</v>
      </c>
      <c r="N8" s="110">
        <v>0</v>
      </c>
      <c r="O8" s="110">
        <v>0</v>
      </c>
      <c r="P8" s="85">
        <f>SUM(D8:O8)</f>
        <v>2868085</v>
      </c>
      <c r="Q8" s="85">
        <f aca="true" t="shared" si="1" ref="Q8:Q17">P8-C8</f>
        <v>0</v>
      </c>
      <c r="R8" s="77"/>
      <c r="S8" s="77"/>
      <c r="T8" s="77"/>
      <c r="U8" s="77"/>
    </row>
    <row r="9" spans="1:21" s="10" customFormat="1" ht="14.25" customHeight="1">
      <c r="A9" s="104" t="s">
        <v>488</v>
      </c>
      <c r="B9" s="109">
        <f>'[2]สรุปรายจ่ายตามงบประมาณ '!D82</f>
        <v>10805050</v>
      </c>
      <c r="C9" s="110">
        <f t="shared" si="0"/>
        <v>8980054</v>
      </c>
      <c r="D9" s="109">
        <f>'[2]แผนบริหารงานทั่วไป'!H9</f>
        <v>4663117</v>
      </c>
      <c r="E9" s="109">
        <f>'[2]แผนการศึกษา'!H8</f>
        <v>2164999</v>
      </c>
      <c r="F9" s="109">
        <f>'[2]สาธารณสุข'!H9</f>
        <v>241440</v>
      </c>
      <c r="G9" s="109">
        <f>'[2]การรักษาความสงบภายใน'!H9</f>
        <v>0</v>
      </c>
      <c r="H9" s="109">
        <f>'[2]สังคมสงเคราะห์'!G9</f>
        <v>935100</v>
      </c>
      <c r="I9" s="109">
        <f>'[2]เคหะและชุมชน'!I9</f>
        <v>834964</v>
      </c>
      <c r="J9" s="109"/>
      <c r="K9" s="109">
        <f>'[2]สร้างความเข้มแข็งของชุมชน'!G9</f>
        <v>0</v>
      </c>
      <c r="L9" s="109">
        <f>'[2]ศาสนาวัฒนธรรม'!G9</f>
        <v>0</v>
      </c>
      <c r="M9" s="109">
        <f>'[2]การเกษตร'!G9</f>
        <v>140434</v>
      </c>
      <c r="N9" s="110">
        <v>0</v>
      </c>
      <c r="O9" s="110">
        <v>0</v>
      </c>
      <c r="P9" s="85">
        <f>SUM(D9:O9)</f>
        <v>8980054</v>
      </c>
      <c r="Q9" s="85">
        <f t="shared" si="1"/>
        <v>0</v>
      </c>
      <c r="R9" s="77"/>
      <c r="S9" s="77"/>
      <c r="T9" s="77"/>
      <c r="U9" s="77"/>
    </row>
    <row r="10" spans="1:21" s="10" customFormat="1" ht="14.25" customHeight="1">
      <c r="A10" s="104" t="s">
        <v>494</v>
      </c>
      <c r="B10" s="109">
        <f>'[2]สรุปรายจ่ายตามงบประมาณ '!D133</f>
        <v>1141080</v>
      </c>
      <c r="C10" s="110">
        <f t="shared" si="0"/>
        <v>386500</v>
      </c>
      <c r="D10" s="109">
        <f>'[2]แผนบริหารงานทั่วไป'!H10</f>
        <v>239700</v>
      </c>
      <c r="E10" s="109">
        <f>'[2]แผนการศึกษา'!H9</f>
        <v>29800</v>
      </c>
      <c r="F10" s="109">
        <f>'[2]สาธารณสุข'!H10</f>
        <v>0</v>
      </c>
      <c r="G10" s="109">
        <f>'[2]การรักษาความสงบภายใน'!H10</f>
        <v>42000</v>
      </c>
      <c r="H10" s="109">
        <f>'[2]สังคมสงเคราะห์'!G10</f>
        <v>36000</v>
      </c>
      <c r="I10" s="109">
        <f>'[2]เคหะและชุมชน'!I10</f>
        <v>39000</v>
      </c>
      <c r="J10" s="109"/>
      <c r="K10" s="109">
        <f>'[2]สร้างความเข้มแข็งของชุมชน'!G10</f>
        <v>0</v>
      </c>
      <c r="L10" s="109">
        <f>'[2]ศาสนาวัฒนธรรม'!G10</f>
        <v>0</v>
      </c>
      <c r="M10" s="109">
        <f>'[2]การเกษตร'!G10</f>
        <v>0</v>
      </c>
      <c r="N10" s="110">
        <v>0</v>
      </c>
      <c r="O10" s="110">
        <v>0</v>
      </c>
      <c r="P10" s="85">
        <f aca="true" t="shared" si="2" ref="P10:P17">SUM(D10:O10)</f>
        <v>386500</v>
      </c>
      <c r="Q10" s="85">
        <f t="shared" si="1"/>
        <v>0</v>
      </c>
      <c r="R10" s="77"/>
      <c r="S10" s="77"/>
      <c r="T10" s="77"/>
      <c r="U10" s="77"/>
    </row>
    <row r="11" spans="1:21" s="10" customFormat="1" ht="14.25" customHeight="1">
      <c r="A11" s="104" t="s">
        <v>493</v>
      </c>
      <c r="B11" s="109">
        <f>'[2]สรุปรายจ่ายตามงบประมาณ '!D256</f>
        <v>5457450</v>
      </c>
      <c r="C11" s="110">
        <f t="shared" si="0"/>
        <v>2806550</v>
      </c>
      <c r="D11" s="109">
        <f>'[2]แผนบริหารงานทั่วไป'!H11</f>
        <v>766166</v>
      </c>
      <c r="E11" s="109">
        <f>'[2]แผนการศึกษา'!H10</f>
        <v>981033</v>
      </c>
      <c r="F11" s="109">
        <f>'[2]สาธารณสุข'!H11</f>
        <v>102012</v>
      </c>
      <c r="G11" s="109">
        <f>'[2]การรักษาความสงบภายใน'!H11</f>
        <v>38890</v>
      </c>
      <c r="H11" s="109">
        <f>'[2]สังคมสงเคราะห์'!G11</f>
        <v>20672</v>
      </c>
      <c r="I11" s="109">
        <f>'[2]เคหะและชุมชน'!I11</f>
        <v>772361</v>
      </c>
      <c r="J11" s="109"/>
      <c r="K11" s="109">
        <f>'[2]สร้างความเข้มแข็งของชุมชน'!G11</f>
        <v>43340</v>
      </c>
      <c r="L11" s="109">
        <f>'[2]ศาสนาวัฒนธรรม'!G11</f>
        <v>44206</v>
      </c>
      <c r="M11" s="109">
        <f>'[2]การเกษตร'!G11</f>
        <v>37870</v>
      </c>
      <c r="N11" s="110">
        <v>0</v>
      </c>
      <c r="O11" s="110">
        <v>0</v>
      </c>
      <c r="P11" s="85">
        <f t="shared" si="2"/>
        <v>2806550</v>
      </c>
      <c r="Q11" s="85">
        <f t="shared" si="1"/>
        <v>0</v>
      </c>
      <c r="R11" s="77"/>
      <c r="S11" s="77"/>
      <c r="T11" s="77"/>
      <c r="U11" s="77"/>
    </row>
    <row r="12" spans="1:21" s="10" customFormat="1" ht="14.25" customHeight="1">
      <c r="A12" s="104" t="s">
        <v>492</v>
      </c>
      <c r="B12" s="109">
        <f>'[2]สรุปรายจ่ายตามงบประมาณ '!D303</f>
        <v>1937240</v>
      </c>
      <c r="C12" s="110">
        <f t="shared" si="0"/>
        <v>1528543.91</v>
      </c>
      <c r="D12" s="109">
        <f>'[2]แผนบริหารงานทั่วไป'!H12</f>
        <v>468199.9</v>
      </c>
      <c r="E12" s="109">
        <f>'[2]แผนการศึกษา'!H11</f>
        <v>842121.36</v>
      </c>
      <c r="F12" s="109">
        <f>'[2]สาธารณสุข'!H12</f>
        <v>50250</v>
      </c>
      <c r="G12" s="109">
        <f>'[2]การรักษาความสงบภายใน'!H12</f>
        <v>30600</v>
      </c>
      <c r="H12" s="109">
        <f>'[2]สังคมสงเคราะห์'!G12</f>
        <v>10000</v>
      </c>
      <c r="I12" s="109">
        <f>'[2]เคหะและชุมชน'!I12</f>
        <v>127372.65</v>
      </c>
      <c r="J12" s="109">
        <f>'[2]สรุปรายจ่ายตามงบประมาณ '!I294</f>
        <v>0</v>
      </c>
      <c r="K12" s="109">
        <f>'[2]สร้างความเข้มแข็งของชุมชน'!G12</f>
        <v>0</v>
      </c>
      <c r="L12" s="109">
        <f>'[2]ศาสนาวัฒนธรรม'!G12</f>
        <v>0</v>
      </c>
      <c r="M12" s="109">
        <f>'[2]การเกษตร'!G12</f>
        <v>0</v>
      </c>
      <c r="N12" s="110">
        <v>0</v>
      </c>
      <c r="O12" s="110">
        <v>0</v>
      </c>
      <c r="P12" s="85">
        <f t="shared" si="2"/>
        <v>1528543.91</v>
      </c>
      <c r="Q12" s="85">
        <f t="shared" si="1"/>
        <v>0</v>
      </c>
      <c r="R12" s="77"/>
      <c r="S12" s="77"/>
      <c r="T12" s="77"/>
      <c r="U12" s="77"/>
    </row>
    <row r="13" spans="1:21" s="10" customFormat="1" ht="14.25" customHeight="1">
      <c r="A13" s="104" t="s">
        <v>491</v>
      </c>
      <c r="B13" s="109">
        <f>'[2]สรุปรายจ่ายตามงบประมาณ '!D316</f>
        <v>570280</v>
      </c>
      <c r="C13" s="110">
        <f t="shared" si="0"/>
        <v>362833.86</v>
      </c>
      <c r="D13" s="109">
        <f>'[2]แผนบริหารงานทั่วไป'!H13</f>
        <v>339990.57</v>
      </c>
      <c r="E13" s="109">
        <f>'[2]แผนการศึกษา'!H12</f>
        <v>22843.29</v>
      </c>
      <c r="F13" s="109">
        <f>'[2]สาธารณสุข'!H13</f>
        <v>0</v>
      </c>
      <c r="G13" s="109">
        <f>'[2]การรักษาความสงบภายใน'!H13</f>
        <v>0</v>
      </c>
      <c r="H13" s="109">
        <f>'[2]สังคมสงเคราะห์'!G13</f>
        <v>0</v>
      </c>
      <c r="I13" s="109">
        <f>'[2]เคหะและชุมชน'!I13</f>
        <v>0</v>
      </c>
      <c r="J13" s="109">
        <v>0</v>
      </c>
      <c r="K13" s="109">
        <f>'[2]สร้างความเข้มแข็งของชุมชน'!G13</f>
        <v>0</v>
      </c>
      <c r="L13" s="109">
        <f>'[2]ศาสนาวัฒนธรรม'!G13</f>
        <v>0</v>
      </c>
      <c r="M13" s="109">
        <f>'[2]การเกษตร'!G13</f>
        <v>0</v>
      </c>
      <c r="N13" s="109">
        <v>0</v>
      </c>
      <c r="O13" s="110">
        <v>0</v>
      </c>
      <c r="P13" s="85">
        <f t="shared" si="2"/>
        <v>362833.86</v>
      </c>
      <c r="Q13" s="85">
        <f t="shared" si="1"/>
        <v>0</v>
      </c>
      <c r="R13" s="77"/>
      <c r="S13" s="77"/>
      <c r="T13" s="77"/>
      <c r="U13" s="77"/>
    </row>
    <row r="14" spans="1:21" s="10" customFormat="1" ht="14.25" customHeight="1">
      <c r="A14" s="104" t="s">
        <v>496</v>
      </c>
      <c r="B14" s="109">
        <f>'[2]สรุปรายจ่ายตามงบประมาณ '!D388</f>
        <v>411800</v>
      </c>
      <c r="C14" s="110">
        <f t="shared" si="0"/>
        <v>316260</v>
      </c>
      <c r="D14" s="109">
        <f>'[2]แผนบริหารงานทั่วไป'!H14</f>
        <v>108900</v>
      </c>
      <c r="E14" s="109">
        <f>'[2]แผนการศึกษา'!H13</f>
        <v>44800</v>
      </c>
      <c r="F14" s="109">
        <f>'[2]สาธารณสุข'!H14</f>
        <v>27900</v>
      </c>
      <c r="G14" s="109">
        <f>'[2]การรักษาความสงบภายใน'!H14</f>
        <v>30000</v>
      </c>
      <c r="H14" s="109">
        <f>'[2]สังคมสงเคราะห์'!G14</f>
        <v>0</v>
      </c>
      <c r="I14" s="109">
        <f>'[2]เคหะและชุมชน'!I14</f>
        <v>104660</v>
      </c>
      <c r="J14" s="109">
        <f>'[2]สรุปรายจ่ายตามงบประมาณ '!L388</f>
        <v>0</v>
      </c>
      <c r="K14" s="109">
        <f>'[2]สร้างความเข้มแข็งของชุมชน'!G14</f>
        <v>0</v>
      </c>
      <c r="L14" s="109">
        <f>'[2]ศาสนาวัฒนธรรม'!G14</f>
        <v>0</v>
      </c>
      <c r="M14" s="109">
        <f>'[2]การเกษตร'!G14</f>
        <v>0</v>
      </c>
      <c r="N14" s="109">
        <f>'[2]สรุปรายจ่ายตามงบประมาณ '!P388</f>
        <v>0</v>
      </c>
      <c r="O14" s="109">
        <f>'[2]สรุปรายจ่ายตามงบประมาณ '!Q388</f>
        <v>0</v>
      </c>
      <c r="P14" s="85">
        <f>SUM(D14:O14)</f>
        <v>316260</v>
      </c>
      <c r="Q14" s="85">
        <f>P14-C14</f>
        <v>0</v>
      </c>
      <c r="R14" s="77"/>
      <c r="S14" s="77"/>
      <c r="T14" s="77"/>
      <c r="U14" s="77"/>
    </row>
    <row r="15" spans="1:19" s="10" customFormat="1" ht="14.25" customHeight="1">
      <c r="A15" s="104" t="s">
        <v>497</v>
      </c>
      <c r="B15" s="109">
        <f>'[2]สรุปรายจ่ายตามงบประมาณ '!D420</f>
        <v>4820000</v>
      </c>
      <c r="C15" s="110">
        <f t="shared" si="0"/>
        <v>4386700</v>
      </c>
      <c r="D15" s="109">
        <f>'[2]แผนบริหารงานทั่วไป'!H15</f>
        <v>0</v>
      </c>
      <c r="E15" s="109">
        <f>'[2]แผนการศึกษา'!H14</f>
        <v>0</v>
      </c>
      <c r="F15" s="109">
        <f>'[2]สาธารณสุข'!H15</f>
        <v>0</v>
      </c>
      <c r="G15" s="109">
        <f>'[2]การรักษาความสงบภายใน'!H15</f>
        <v>0</v>
      </c>
      <c r="H15" s="109">
        <f>'[2]สังคมสงเคราะห์'!G15</f>
        <v>0</v>
      </c>
      <c r="I15" s="109">
        <f>'[2]เคหะและชุมชน'!I15+1851000</f>
        <v>4386700</v>
      </c>
      <c r="J15" s="109">
        <f>'[2]สรุปรายจ่ายตามงบประมาณ '!L420</f>
        <v>0</v>
      </c>
      <c r="K15" s="109">
        <f>'[2]สร้างความเข้มแข็งของชุมชน'!G15</f>
        <v>0</v>
      </c>
      <c r="L15" s="109">
        <f>'[2]ศาสนาวัฒนธรรม'!G15</f>
        <v>0</v>
      </c>
      <c r="M15" s="109">
        <f>'[2]การเกษตร'!G15</f>
        <v>0</v>
      </c>
      <c r="N15" s="109">
        <f>'[2]สรุปรายจ่ายตามงบประมาณ '!P420</f>
        <v>0</v>
      </c>
      <c r="O15" s="109">
        <f>'[2]สรุปรายจ่ายตามงบประมาณ '!Q420</f>
        <v>0</v>
      </c>
      <c r="P15" s="109">
        <f>'[2]สรุปรายจ่ายตามงบประมาณ '!R420</f>
        <v>0</v>
      </c>
      <c r="Q15" s="85">
        <f>P15-C15</f>
        <v>-4386700</v>
      </c>
      <c r="R15" s="77"/>
      <c r="S15" s="77"/>
    </row>
    <row r="16" spans="1:21" s="10" customFormat="1" ht="14.25" customHeight="1">
      <c r="A16" s="104" t="s">
        <v>498</v>
      </c>
      <c r="B16" s="109">
        <f>'[2]สรุปรายจ่ายตามงบประมาณ '!D321</f>
        <v>35000</v>
      </c>
      <c r="C16" s="110">
        <f t="shared" si="0"/>
        <v>27000</v>
      </c>
      <c r="D16" s="109">
        <f>'[2]แผนบริหารงานทั่วไป'!H16</f>
        <v>27000</v>
      </c>
      <c r="E16" s="109">
        <f>'[2]แผนการศึกษา'!H15</f>
        <v>0</v>
      </c>
      <c r="F16" s="109">
        <f>'[2]สาธารณสุข'!H16</f>
        <v>0</v>
      </c>
      <c r="G16" s="109">
        <f>'[2]การรักษาความสงบภายใน'!H16</f>
        <v>0</v>
      </c>
      <c r="H16" s="109">
        <f>'[2]สังคมสงเคราะห์'!G16</f>
        <v>0</v>
      </c>
      <c r="I16" s="109">
        <v>0</v>
      </c>
      <c r="J16" s="109">
        <v>0</v>
      </c>
      <c r="K16" s="109">
        <f>'[2]สร้างความเข้มแข็งของชุมชน'!G16</f>
        <v>0</v>
      </c>
      <c r="L16" s="109">
        <f>'[2]ศาสนาวัฒนธรรม'!G16</f>
        <v>0</v>
      </c>
      <c r="M16" s="109">
        <f>'[2]การเกษตร'!G16</f>
        <v>0</v>
      </c>
      <c r="N16" s="110">
        <v>0</v>
      </c>
      <c r="O16" s="110">
        <v>0</v>
      </c>
      <c r="P16" s="85">
        <f>SUM(D16:O16)</f>
        <v>27000</v>
      </c>
      <c r="Q16" s="85">
        <f>P16-C16</f>
        <v>0</v>
      </c>
      <c r="R16" s="77"/>
      <c r="S16" s="77"/>
      <c r="T16" s="77"/>
      <c r="U16" s="77"/>
    </row>
    <row r="17" spans="1:21" s="10" customFormat="1" ht="14.25" customHeight="1">
      <c r="A17" s="104" t="s">
        <v>490</v>
      </c>
      <c r="B17" s="109">
        <f>'[2]สรุปรายจ่ายตามงบประมาณ '!D345</f>
        <v>2007000</v>
      </c>
      <c r="C17" s="110">
        <f t="shared" si="0"/>
        <v>1836000</v>
      </c>
      <c r="D17" s="109">
        <f>'[2]แผนบริหารงานทั่วไป'!H17</f>
        <v>0</v>
      </c>
      <c r="E17" s="109">
        <f>'[2]แผนการศึกษา'!H16</f>
        <v>1496000</v>
      </c>
      <c r="F17" s="109">
        <f>'[2]สาธารณสุข'!H17</f>
        <v>340000</v>
      </c>
      <c r="G17" s="109">
        <f>'[2]การรักษาความสงบภายใน'!H17</f>
        <v>0</v>
      </c>
      <c r="H17" s="109">
        <f>'[2]สังคมสงเคราะห์'!G17</f>
        <v>0</v>
      </c>
      <c r="I17" s="109">
        <f>'[2]เคหะและชุมชน'!I17</f>
        <v>0</v>
      </c>
      <c r="J17" s="109"/>
      <c r="K17" s="109">
        <f>'[2]สร้างความเข้มแข็งของชุมชน'!G17</f>
        <v>0</v>
      </c>
      <c r="L17" s="109">
        <f>'[2]ศาสนาวัฒนธรรม'!G17</f>
        <v>0</v>
      </c>
      <c r="M17" s="109">
        <f>'[2]การเกษตร'!G17</f>
        <v>0</v>
      </c>
      <c r="N17" s="110">
        <v>0</v>
      </c>
      <c r="O17" s="110">
        <v>0</v>
      </c>
      <c r="P17" s="85">
        <f t="shared" si="2"/>
        <v>1836000</v>
      </c>
      <c r="Q17" s="85">
        <f t="shared" si="1"/>
        <v>0</v>
      </c>
      <c r="R17" s="77"/>
      <c r="S17" s="77"/>
      <c r="T17" s="77"/>
      <c r="U17" s="77"/>
    </row>
    <row r="18" spans="1:19" s="10" customFormat="1" ht="14.25" customHeight="1">
      <c r="A18" s="452" t="s">
        <v>60</v>
      </c>
      <c r="B18" s="112">
        <f>SUM(B7:B17)</f>
        <v>46535000</v>
      </c>
      <c r="C18" s="453">
        <f>SUM(C7:C17)</f>
        <v>37900015.769999996</v>
      </c>
      <c r="D18" s="112">
        <f aca="true" t="shared" si="3" ref="D18:N18">SUM(D8:D17)</f>
        <v>9481158.47</v>
      </c>
      <c r="E18" s="112">
        <f t="shared" si="3"/>
        <v>5581596.65</v>
      </c>
      <c r="F18" s="112">
        <f t="shared" si="3"/>
        <v>761602</v>
      </c>
      <c r="G18" s="112">
        <f t="shared" si="3"/>
        <v>141490</v>
      </c>
      <c r="H18" s="112">
        <f t="shared" si="3"/>
        <v>1001772</v>
      </c>
      <c r="I18" s="112">
        <f t="shared" si="3"/>
        <v>6265057.65</v>
      </c>
      <c r="J18" s="112">
        <f t="shared" si="3"/>
        <v>0</v>
      </c>
      <c r="K18" s="112">
        <f t="shared" si="3"/>
        <v>43340</v>
      </c>
      <c r="L18" s="112">
        <f t="shared" si="3"/>
        <v>44206</v>
      </c>
      <c r="M18" s="112">
        <f t="shared" si="3"/>
        <v>178304</v>
      </c>
      <c r="N18" s="112">
        <f t="shared" si="3"/>
        <v>0</v>
      </c>
      <c r="O18" s="112">
        <f>SUM(O7:O17)</f>
        <v>14401489</v>
      </c>
      <c r="P18" s="11">
        <f>SUM(P8:P17)</f>
        <v>19111826.77</v>
      </c>
      <c r="Q18" s="85">
        <f>O18+N18+M18+L18+K18+I18+H18+G18+F18+E18+D18</f>
        <v>37900015.769999996</v>
      </c>
      <c r="R18" s="77"/>
      <c r="S18" s="77"/>
    </row>
    <row r="19" spans="1:19" ht="14.25" customHeight="1">
      <c r="A19" s="456" t="s">
        <v>119</v>
      </c>
      <c r="B19" s="457"/>
      <c r="C19" s="457"/>
      <c r="D19" s="114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Q19" s="4">
        <v>0</v>
      </c>
      <c r="R19" s="4"/>
      <c r="S19" s="4"/>
    </row>
    <row r="20" spans="1:19" ht="14.25" customHeight="1">
      <c r="A20" s="104" t="s">
        <v>120</v>
      </c>
      <c r="B20" s="109">
        <f>'[2]งบรับ-จ่ายรวมเงินอุดหนุน'!B12</f>
        <v>304000</v>
      </c>
      <c r="C20" s="110">
        <f>'[2]งบรับ-จ่ายรวมเงินอุดหนุน'!C12</f>
        <v>300746.76</v>
      </c>
      <c r="D20" s="111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/>
      <c r="K20" s="109">
        <v>0</v>
      </c>
      <c r="L20" s="109">
        <v>0</v>
      </c>
      <c r="M20" s="109">
        <v>0</v>
      </c>
      <c r="N20" s="109"/>
      <c r="O20" s="109">
        <v>0</v>
      </c>
      <c r="Q20" s="3" t="e">
        <f>+Q19-#REF!</f>
        <v>#REF!</v>
      </c>
      <c r="R20" s="4"/>
      <c r="S20" s="4"/>
    </row>
    <row r="21" spans="1:15" ht="14.25" customHeight="1">
      <c r="A21" s="104" t="s">
        <v>121</v>
      </c>
      <c r="B21" s="109">
        <f>'[2]งบรับ-จ่ายรวมเงินอุดหนุน'!B39</f>
        <v>184100</v>
      </c>
      <c r="C21" s="110">
        <f>'[2]งบรับ-จ่ายรวมเงินอุดหนุน'!C39</f>
        <v>202158</v>
      </c>
      <c r="D21" s="111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/>
      <c r="K21" s="109">
        <v>0</v>
      </c>
      <c r="L21" s="109">
        <v>0</v>
      </c>
      <c r="M21" s="109">
        <v>0</v>
      </c>
      <c r="N21" s="109"/>
      <c r="O21" s="109">
        <v>0</v>
      </c>
    </row>
    <row r="22" spans="1:18" ht="14.25" customHeight="1">
      <c r="A22" s="104" t="s">
        <v>122</v>
      </c>
      <c r="B22" s="109">
        <f>'[2]งบรับ-จ่ายรวมเงินอุดหนุน'!B42</f>
        <v>131000</v>
      </c>
      <c r="C22" s="110">
        <f>'[2]งบรับ-จ่ายรวมเงินอุดหนุน'!C42</f>
        <v>187567.88</v>
      </c>
      <c r="D22" s="111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/>
      <c r="K22" s="109">
        <v>0</v>
      </c>
      <c r="L22" s="109">
        <v>0</v>
      </c>
      <c r="M22" s="109">
        <v>0</v>
      </c>
      <c r="N22" s="109"/>
      <c r="O22" s="109">
        <v>0</v>
      </c>
      <c r="R22" s="5"/>
    </row>
    <row r="23" spans="1:15" ht="14.25" customHeight="1">
      <c r="A23" s="104" t="s">
        <v>123</v>
      </c>
      <c r="B23" s="109">
        <f>'[2]งบรับ-จ่ายรวมเงินอุดหนุน'!B51</f>
        <v>136400</v>
      </c>
      <c r="C23" s="110">
        <f>'[2]งบรับ-จ่ายรวมเงินอุดหนุน'!C51</f>
        <v>4323</v>
      </c>
      <c r="D23" s="111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/>
      <c r="K23" s="109">
        <v>0</v>
      </c>
      <c r="L23" s="109">
        <v>0</v>
      </c>
      <c r="M23" s="109">
        <v>0</v>
      </c>
      <c r="N23" s="109"/>
      <c r="O23" s="109">
        <v>0</v>
      </c>
    </row>
    <row r="24" spans="1:15" ht="14.25" customHeight="1">
      <c r="A24" s="104" t="s">
        <v>487</v>
      </c>
      <c r="B24" s="109">
        <f>'[2]งบรับ-จ่ายรวมเงินอุดหนุน'!B54</f>
        <v>500</v>
      </c>
      <c r="C24" s="110">
        <f>'[2]งบรับ-จ่ายรวมเงินอุดหนุน'!C54</f>
        <v>0</v>
      </c>
      <c r="D24" s="111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/>
      <c r="K24" s="109">
        <v>0</v>
      </c>
      <c r="L24" s="109">
        <v>0</v>
      </c>
      <c r="M24" s="109">
        <v>0</v>
      </c>
      <c r="N24" s="109"/>
      <c r="O24" s="109">
        <v>0</v>
      </c>
    </row>
    <row r="25" spans="1:15" ht="14.25" customHeight="1">
      <c r="A25" s="104" t="s">
        <v>124</v>
      </c>
      <c r="B25" s="109">
        <f>'[2]งบรับ-จ่ายรวมเงินอุดหนุน'!B23</f>
        <v>18564000</v>
      </c>
      <c r="C25" s="110">
        <f>'[2]งบรับ-จ่ายรวมเงินอุดหนุน'!C23</f>
        <v>19936365.63</v>
      </c>
      <c r="D25" s="111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/>
      <c r="K25" s="109">
        <v>0</v>
      </c>
      <c r="L25" s="109">
        <v>0</v>
      </c>
      <c r="M25" s="109">
        <v>0</v>
      </c>
      <c r="N25" s="109"/>
      <c r="O25" s="109">
        <v>0</v>
      </c>
    </row>
    <row r="26" spans="1:15" ht="14.25" customHeight="1">
      <c r="A26" s="104" t="s">
        <v>125</v>
      </c>
      <c r="B26" s="109">
        <f>'[2]งบรับ-จ่ายรวมเงินอุดหนุน'!B60</f>
        <v>27215000</v>
      </c>
      <c r="C26" s="110">
        <f>'[2]งบรับ-จ่ายรวมเงินอุดหนุน'!C57</f>
        <v>22350376</v>
      </c>
      <c r="D26" s="111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/>
      <c r="K26" s="109">
        <v>0</v>
      </c>
      <c r="L26" s="109">
        <v>0</v>
      </c>
      <c r="M26" s="109">
        <v>0</v>
      </c>
      <c r="N26" s="109"/>
      <c r="O26" s="109">
        <v>0</v>
      </c>
    </row>
    <row r="27" spans="1:15" ht="14.25" customHeight="1">
      <c r="A27" s="104" t="s">
        <v>142</v>
      </c>
      <c r="B27" s="109">
        <v>0</v>
      </c>
      <c r="C27" s="109">
        <f>'[2]งบรับ-จ่ายรวมเงินอุดหนุน'!C58</f>
        <v>0</v>
      </c>
      <c r="D27" s="111">
        <v>0</v>
      </c>
      <c r="E27" s="109">
        <v>0</v>
      </c>
      <c r="F27" s="109">
        <v>0</v>
      </c>
      <c r="G27" s="109">
        <v>0</v>
      </c>
      <c r="H27" s="109"/>
      <c r="I27" s="109">
        <v>0</v>
      </c>
      <c r="J27" s="109"/>
      <c r="K27" s="109">
        <v>0</v>
      </c>
      <c r="L27" s="109">
        <v>0</v>
      </c>
      <c r="M27" s="109">
        <v>0</v>
      </c>
      <c r="N27" s="109"/>
      <c r="O27" s="109">
        <v>0</v>
      </c>
    </row>
    <row r="28" spans="1:15" ht="14.25" customHeight="1">
      <c r="A28" s="459" t="s">
        <v>60</v>
      </c>
      <c r="B28" s="460">
        <f>SUM(B20:B27)</f>
        <v>46535000</v>
      </c>
      <c r="C28" s="454">
        <f aca="true" t="shared" si="4" ref="C28:I28">SUM(C20:C27)</f>
        <v>42981537.269999996</v>
      </c>
      <c r="D28" s="454">
        <f t="shared" si="4"/>
        <v>0</v>
      </c>
      <c r="E28" s="454">
        <f t="shared" si="4"/>
        <v>0</v>
      </c>
      <c r="F28" s="454">
        <f t="shared" si="4"/>
        <v>0</v>
      </c>
      <c r="G28" s="454">
        <f t="shared" si="4"/>
        <v>0</v>
      </c>
      <c r="H28" s="454">
        <f t="shared" si="4"/>
        <v>0</v>
      </c>
      <c r="I28" s="454">
        <f t="shared" si="4"/>
        <v>0</v>
      </c>
      <c r="J28" s="454"/>
      <c r="K28" s="454">
        <f>SUM(K20:K27)</f>
        <v>0</v>
      </c>
      <c r="L28" s="454">
        <f>SUM(L20:L27)</f>
        <v>0</v>
      </c>
      <c r="M28" s="454">
        <f>SUM(M20:M27)</f>
        <v>0</v>
      </c>
      <c r="N28" s="454"/>
      <c r="O28" s="454">
        <f>SUM(O20:O27)</f>
        <v>0</v>
      </c>
    </row>
    <row r="29" spans="1:15" ht="18.75" customHeight="1" thickBot="1">
      <c r="A29" s="710" t="s">
        <v>126</v>
      </c>
      <c r="B29" s="711"/>
      <c r="C29" s="86">
        <f>C28-C18</f>
        <v>5081521.5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80"/>
    </row>
    <row r="30" spans="1:15" ht="14.25" customHeight="1" thickTop="1">
      <c r="A30" s="79"/>
      <c r="B30" s="182"/>
      <c r="C30" s="8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80"/>
    </row>
    <row r="31" spans="1:15" ht="14.25" customHeight="1">
      <c r="A31" s="80"/>
      <c r="B31" s="114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s="102" customFormat="1" ht="14.25" customHeight="1">
      <c r="A32" s="705" t="s">
        <v>685</v>
      </c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705"/>
      <c r="M32" s="705"/>
      <c r="N32" s="705"/>
      <c r="O32" s="705"/>
    </row>
    <row r="33" spans="1:15" ht="18">
      <c r="A33" s="80"/>
      <c r="B33" s="102"/>
      <c r="C33" s="8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3" ht="15.75">
      <c r="A34" s="6"/>
      <c r="C34" s="6"/>
    </row>
    <row r="35" spans="1:3" ht="15.75">
      <c r="A35" s="6"/>
      <c r="C35" s="6"/>
    </row>
    <row r="36" spans="1:3" ht="15.75">
      <c r="A36" s="6"/>
      <c r="C36" s="6"/>
    </row>
    <row r="37" spans="1:3" ht="15.75">
      <c r="A37" s="6"/>
      <c r="C37" s="6"/>
    </row>
    <row r="38" spans="1:3" ht="15.75">
      <c r="A38" s="6"/>
      <c r="C38" s="6"/>
    </row>
    <row r="39" ht="15.75">
      <c r="C39" s="6"/>
    </row>
    <row r="40" spans="3:6" ht="18">
      <c r="C40" s="3"/>
      <c r="E40" s="7"/>
      <c r="F40" s="8"/>
    </row>
    <row r="41" spans="3:5" ht="15.75">
      <c r="C41" s="6"/>
      <c r="E41" s="9"/>
    </row>
    <row r="42" spans="1:3" ht="15.75">
      <c r="A42" s="5"/>
      <c r="C42" s="6"/>
    </row>
    <row r="43" spans="2:3" ht="15.75">
      <c r="B43" s="184"/>
      <c r="C43" s="3"/>
    </row>
  </sheetData>
  <sheetProtection/>
  <mergeCells count="20">
    <mergeCell ref="N4:N5"/>
    <mergeCell ref="O4:O5"/>
    <mergeCell ref="A29:B29"/>
    <mergeCell ref="G4:G5"/>
    <mergeCell ref="H4:H5"/>
    <mergeCell ref="I4:I5"/>
    <mergeCell ref="K4:K5"/>
    <mergeCell ref="L4:L5"/>
    <mergeCell ref="M4:M5"/>
    <mergeCell ref="J4:J5"/>
    <mergeCell ref="A32:O32"/>
    <mergeCell ref="A1:O1"/>
    <mergeCell ref="A2:O2"/>
    <mergeCell ref="A3:O3"/>
    <mergeCell ref="A4:A5"/>
    <mergeCell ref="B4:B5"/>
    <mergeCell ref="C4:C5"/>
    <mergeCell ref="D4:D5"/>
    <mergeCell ref="E4:E5"/>
    <mergeCell ref="F4:F5"/>
  </mergeCells>
  <printOptions horizontalCentered="1"/>
  <pageMargins left="0" right="0" top="0.3937007874015748" bottom="0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3"/>
  <sheetViews>
    <sheetView zoomScale="130" zoomScaleNormal="130" zoomScalePageLayoutView="0" workbookViewId="0" topLeftCell="A1">
      <selection activeCell="G22" sqref="G22"/>
    </sheetView>
  </sheetViews>
  <sheetFormatPr defaultColWidth="9.7109375" defaultRowHeight="15"/>
  <cols>
    <col min="1" max="1" width="17.28125" style="10" customWidth="1"/>
    <col min="2" max="2" width="9.421875" style="102" customWidth="1"/>
    <col min="3" max="3" width="9.7109375" style="10" customWidth="1"/>
    <col min="4" max="4" width="9.421875" style="10" customWidth="1"/>
    <col min="5" max="5" width="8.57421875" style="10" customWidth="1"/>
    <col min="6" max="7" width="8.8515625" style="10" customWidth="1"/>
    <col min="8" max="9" width="9.140625" style="10" customWidth="1"/>
    <col min="10" max="10" width="6.421875" style="10" customWidth="1"/>
    <col min="11" max="11" width="8.00390625" style="10" customWidth="1"/>
    <col min="12" max="12" width="7.7109375" style="10" customWidth="1"/>
    <col min="13" max="13" width="8.140625" style="10" customWidth="1"/>
    <col min="14" max="14" width="4.421875" style="10" customWidth="1"/>
    <col min="15" max="15" width="9.8515625" style="10" customWidth="1"/>
    <col min="16" max="16" width="11.57421875" style="10" customWidth="1"/>
    <col min="17" max="16384" width="9.7109375" style="10" customWidth="1"/>
  </cols>
  <sheetData>
    <row r="1" spans="1:15" s="102" customFormat="1" ht="14.25" customHeight="1">
      <c r="A1" s="706" t="s">
        <v>360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</row>
    <row r="2" spans="1:15" s="102" customFormat="1" ht="14.25" customHeight="1">
      <c r="A2" s="706" t="s">
        <v>500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1:15" s="102" customFormat="1" ht="14.25" customHeight="1">
      <c r="A3" s="706" t="s">
        <v>1103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</row>
    <row r="4" spans="1:15" ht="14.25" customHeight="1">
      <c r="A4" s="707" t="s">
        <v>64</v>
      </c>
      <c r="B4" s="708" t="s">
        <v>106</v>
      </c>
      <c r="C4" s="707" t="s">
        <v>60</v>
      </c>
      <c r="D4" s="707" t="s">
        <v>81</v>
      </c>
      <c r="E4" s="707" t="s">
        <v>88</v>
      </c>
      <c r="F4" s="707" t="s">
        <v>84</v>
      </c>
      <c r="G4" s="707" t="s">
        <v>107</v>
      </c>
      <c r="H4" s="707" t="s">
        <v>108</v>
      </c>
      <c r="I4" s="707" t="s">
        <v>83</v>
      </c>
      <c r="J4" s="707" t="s">
        <v>484</v>
      </c>
      <c r="K4" s="712" t="s">
        <v>109</v>
      </c>
      <c r="L4" s="714" t="s">
        <v>110</v>
      </c>
      <c r="M4" s="707" t="s">
        <v>111</v>
      </c>
      <c r="N4" s="707" t="s">
        <v>112</v>
      </c>
      <c r="O4" s="707" t="s">
        <v>113</v>
      </c>
    </row>
    <row r="5" spans="1:15" ht="14.25" customHeight="1">
      <c r="A5" s="702"/>
      <c r="B5" s="709"/>
      <c r="C5" s="702"/>
      <c r="D5" s="702"/>
      <c r="E5" s="702"/>
      <c r="F5" s="702"/>
      <c r="G5" s="702"/>
      <c r="H5" s="702"/>
      <c r="I5" s="702"/>
      <c r="J5" s="702"/>
      <c r="K5" s="713"/>
      <c r="L5" s="715"/>
      <c r="M5" s="702"/>
      <c r="N5" s="702"/>
      <c r="O5" s="702"/>
    </row>
    <row r="6" spans="1:21" ht="14.25" customHeight="1">
      <c r="A6" s="103" t="s">
        <v>114</v>
      </c>
      <c r="B6" s="104"/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R6" s="72"/>
      <c r="S6" s="72"/>
      <c r="T6" s="73"/>
      <c r="U6" s="73"/>
    </row>
    <row r="7" spans="1:21" ht="14.25" customHeight="1">
      <c r="A7" s="104" t="s">
        <v>489</v>
      </c>
      <c r="B7" s="109">
        <f>'[2]สรุปรายจ่ายตามงบประมาณ '!D15</f>
        <v>16194980</v>
      </c>
      <c r="C7" s="110">
        <f>SUM(D7:O7)</f>
        <v>14401489</v>
      </c>
      <c r="D7" s="109"/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/>
      <c r="K7" s="109">
        <v>0</v>
      </c>
      <c r="L7" s="109">
        <v>0</v>
      </c>
      <c r="M7" s="109">
        <v>0</v>
      </c>
      <c r="N7" s="110">
        <v>0</v>
      </c>
      <c r="O7" s="109">
        <f>'[2]แผนงานงบกลาง'!F8</f>
        <v>14401489</v>
      </c>
      <c r="P7" s="85">
        <f>SUM(D7:O7)</f>
        <v>14401489</v>
      </c>
      <c r="Q7" s="85">
        <f>P7-C7</f>
        <v>0</v>
      </c>
      <c r="R7" s="77"/>
      <c r="S7" s="77"/>
      <c r="T7" s="77"/>
      <c r="U7" s="77"/>
    </row>
    <row r="8" spans="1:21" ht="14.25" customHeight="1">
      <c r="A8" s="104" t="s">
        <v>495</v>
      </c>
      <c r="B8" s="109">
        <f>'[2]สรุปรายจ่ายตามงบประมาณ '!D23</f>
        <v>3155120</v>
      </c>
      <c r="C8" s="110">
        <f aca="true" t="shared" si="0" ref="C8:C13">SUM(D8:O8)</f>
        <v>2868085</v>
      </c>
      <c r="D8" s="109">
        <f>'[2]งบแสดงจากเงินรายรับและสะสม'!D8</f>
        <v>2868085</v>
      </c>
      <c r="E8" s="109"/>
      <c r="F8" s="109"/>
      <c r="G8" s="109">
        <v>0</v>
      </c>
      <c r="H8" s="109">
        <v>0</v>
      </c>
      <c r="I8" s="109">
        <v>0</v>
      </c>
      <c r="J8" s="109"/>
      <c r="K8" s="109">
        <v>0</v>
      </c>
      <c r="L8" s="109">
        <v>0</v>
      </c>
      <c r="M8" s="109">
        <v>0</v>
      </c>
      <c r="N8" s="110">
        <v>0</v>
      </c>
      <c r="O8" s="110">
        <v>0</v>
      </c>
      <c r="P8" s="85">
        <f>SUM(D8:O8)</f>
        <v>2868085</v>
      </c>
      <c r="Q8" s="85">
        <f aca="true" t="shared" si="1" ref="Q8:Q17">P8-C8</f>
        <v>0</v>
      </c>
      <c r="R8" s="77"/>
      <c r="S8" s="77"/>
      <c r="T8" s="77"/>
      <c r="U8" s="77"/>
    </row>
    <row r="9" spans="1:21" ht="14.25" customHeight="1">
      <c r="A9" s="104" t="s">
        <v>488</v>
      </c>
      <c r="B9" s="109">
        <f>'[2]สรุปรายจ่ายตามงบประมาณ '!D82</f>
        <v>10805050</v>
      </c>
      <c r="C9" s="110">
        <f t="shared" si="0"/>
        <v>8980054</v>
      </c>
      <c r="D9" s="109">
        <f>'[2]งบแสดงจากเงินรายรับและสะสม'!D9</f>
        <v>4663117</v>
      </c>
      <c r="E9" s="109">
        <f>'[2]งบแสดงจากเงินรายรับและสะสม'!E9</f>
        <v>2164999</v>
      </c>
      <c r="F9" s="109">
        <f>'[2]งบแสดงจากเงินรายรับและสะสม'!F9</f>
        <v>241440</v>
      </c>
      <c r="G9" s="109">
        <f>'[2]งบแสดงจากเงินรายรับและสะสม'!G9</f>
        <v>0</v>
      </c>
      <c r="H9" s="109">
        <f>'[2]งบแสดงจากเงินรายรับและสะสม'!H9</f>
        <v>935100</v>
      </c>
      <c r="I9" s="109">
        <f>'[2]งบแสดงจากเงินรายรับและสะสม'!I9</f>
        <v>834964</v>
      </c>
      <c r="J9" s="109"/>
      <c r="K9" s="109">
        <f>'[2]งบแสดงจากเงินรายรับและสะสม'!K9</f>
        <v>0</v>
      </c>
      <c r="L9" s="109">
        <f>'[2]งบแสดงจากเงินรายรับและสะสม'!L9</f>
        <v>0</v>
      </c>
      <c r="M9" s="109">
        <f>'[2]งบแสดงจากเงินรายรับและสะสม'!M9</f>
        <v>140434</v>
      </c>
      <c r="N9" s="110">
        <v>0</v>
      </c>
      <c r="O9" s="110">
        <v>0</v>
      </c>
      <c r="P9" s="85">
        <f>SUM(D9:O9)</f>
        <v>8980054</v>
      </c>
      <c r="Q9" s="85">
        <f t="shared" si="1"/>
        <v>0</v>
      </c>
      <c r="R9" s="77"/>
      <c r="S9" s="77"/>
      <c r="T9" s="77"/>
      <c r="U9" s="77"/>
    </row>
    <row r="10" spans="1:21" ht="14.25" customHeight="1">
      <c r="A10" s="104" t="s">
        <v>494</v>
      </c>
      <c r="B10" s="109">
        <f>'[2]สรุปรายจ่ายตามงบประมาณ '!D133</f>
        <v>1141080</v>
      </c>
      <c r="C10" s="110">
        <f t="shared" si="0"/>
        <v>386500</v>
      </c>
      <c r="D10" s="109">
        <f>'[2]งบแสดงจากเงินรายรับและสะสม'!D10</f>
        <v>239700</v>
      </c>
      <c r="E10" s="109">
        <f>'[2]งบแสดงจากเงินรายรับและสะสม'!E10</f>
        <v>29800</v>
      </c>
      <c r="F10" s="109">
        <f>'[2]งบแสดงจากเงินรายรับและสะสม'!F10</f>
        <v>0</v>
      </c>
      <c r="G10" s="109">
        <f>'[2]งบแสดงจากเงินรายรับและสะสม'!G10</f>
        <v>42000</v>
      </c>
      <c r="H10" s="109">
        <f>'[2]งบแสดงจากเงินรายรับและสะสม'!H10</f>
        <v>36000</v>
      </c>
      <c r="I10" s="109">
        <f>'[2]งบแสดงจากเงินรายรับและสะสม'!I10</f>
        <v>39000</v>
      </c>
      <c r="J10" s="109"/>
      <c r="K10" s="109">
        <f>'[2]งบแสดงจากเงินรายรับและสะสม'!K10</f>
        <v>0</v>
      </c>
      <c r="L10" s="109">
        <f>'[2]งบแสดงจากเงินรายรับและสะสม'!L10</f>
        <v>0</v>
      </c>
      <c r="M10" s="109">
        <f>'[2]สรุปรายจ่ายตามงบประมาณ '!E132</f>
        <v>0</v>
      </c>
      <c r="N10" s="110">
        <v>0</v>
      </c>
      <c r="O10" s="110">
        <v>0</v>
      </c>
      <c r="P10" s="85">
        <f aca="true" t="shared" si="2" ref="P10:P17">SUM(D10:O10)</f>
        <v>386500</v>
      </c>
      <c r="Q10" s="85">
        <f t="shared" si="1"/>
        <v>0</v>
      </c>
      <c r="R10" s="77"/>
      <c r="S10" s="77"/>
      <c r="T10" s="77"/>
      <c r="U10" s="77"/>
    </row>
    <row r="11" spans="1:21" ht="14.25" customHeight="1">
      <c r="A11" s="104" t="s">
        <v>493</v>
      </c>
      <c r="B11" s="109">
        <f>'[2]สรุปรายจ่ายตามงบประมาณ '!D256</f>
        <v>5457450</v>
      </c>
      <c r="C11" s="110">
        <f t="shared" si="0"/>
        <v>2806550</v>
      </c>
      <c r="D11" s="109">
        <f>'[2]งบแสดงจากเงินรายรับและสะสม'!D11</f>
        <v>766166</v>
      </c>
      <c r="E11" s="109">
        <f>'[2]งบแสดงจากเงินรายรับและสะสม'!E11</f>
        <v>981033</v>
      </c>
      <c r="F11" s="109">
        <f>'[2]งบแสดงจากเงินรายรับและสะสม'!F11</f>
        <v>102012</v>
      </c>
      <c r="G11" s="109">
        <f>'[2]งบแสดงจากเงินรายรับและสะสม'!G11</f>
        <v>38890</v>
      </c>
      <c r="H11" s="109">
        <f>'[2]งบแสดงจากเงินรายรับและสะสม'!H11</f>
        <v>20672</v>
      </c>
      <c r="I11" s="109">
        <f>'[2]งบแสดงจากเงินรายรับและสะสม'!I11</f>
        <v>772361</v>
      </c>
      <c r="J11" s="109">
        <v>0</v>
      </c>
      <c r="K11" s="109">
        <f>'[2]งบแสดงจากเงินรายรับและสะสม'!K11</f>
        <v>43340</v>
      </c>
      <c r="L11" s="109">
        <f>'[2]งบแสดงจากเงินรายรับและสะสม'!L11</f>
        <v>44206</v>
      </c>
      <c r="M11" s="109">
        <f>'[2]สรุปรายจ่ายตามงบประมาณ '!E249+'[2]สรุปรายจ่ายตามงบประมาณ '!E255</f>
        <v>37870</v>
      </c>
      <c r="N11" s="110">
        <v>0</v>
      </c>
      <c r="O11" s="110">
        <v>0</v>
      </c>
      <c r="P11" s="85">
        <f t="shared" si="2"/>
        <v>2806550</v>
      </c>
      <c r="Q11" s="85">
        <f t="shared" si="1"/>
        <v>0</v>
      </c>
      <c r="R11" s="77"/>
      <c r="S11" s="77"/>
      <c r="T11" s="77"/>
      <c r="U11" s="77"/>
    </row>
    <row r="12" spans="1:21" ht="14.25" customHeight="1">
      <c r="A12" s="104" t="s">
        <v>492</v>
      </c>
      <c r="B12" s="109">
        <f>'[2]สรุปรายจ่ายตามงบประมาณ '!D303</f>
        <v>1937240</v>
      </c>
      <c r="C12" s="110">
        <f>SUM(D12:O12)</f>
        <v>1528543.91</v>
      </c>
      <c r="D12" s="109">
        <f>'[2]งบแสดงจากเงินรายรับและสะสม'!D12</f>
        <v>468199.9</v>
      </c>
      <c r="E12" s="109">
        <f>'[2]งบแสดงจากเงินรายรับและสะสม'!E12</f>
        <v>842121.36</v>
      </c>
      <c r="F12" s="109">
        <f>'[2]งบแสดงจากเงินรายรับและสะสม'!F12</f>
        <v>50250</v>
      </c>
      <c r="G12" s="109">
        <f>'[2]งบแสดงจากเงินรายรับและสะสม'!G12</f>
        <v>30600</v>
      </c>
      <c r="H12" s="109">
        <f>'[2]งบแสดงจากเงินรายรับและสะสม'!H12</f>
        <v>10000</v>
      </c>
      <c r="I12" s="109">
        <f>'[2]งบแสดงจากเงินรายรับและสะสม'!I12</f>
        <v>127372.65</v>
      </c>
      <c r="J12" s="109">
        <f>'[2]สรุปรายจ่ายตามงบประมาณ '!E203</f>
        <v>0</v>
      </c>
      <c r="K12" s="109">
        <f>'[2]งบแสดงจากเงินรายรับและสะสม'!K12</f>
        <v>0</v>
      </c>
      <c r="L12" s="109">
        <f>'[2]งบแสดงจากเงินรายรับและสะสม'!L12</f>
        <v>0</v>
      </c>
      <c r="M12" s="109">
        <f>'[2]สรุปรายจ่ายตามงบประมาณ '!E302</f>
        <v>0</v>
      </c>
      <c r="N12" s="110">
        <v>0</v>
      </c>
      <c r="O12" s="110">
        <v>0</v>
      </c>
      <c r="P12" s="85">
        <f t="shared" si="2"/>
        <v>1528543.91</v>
      </c>
      <c r="Q12" s="85">
        <f t="shared" si="1"/>
        <v>0</v>
      </c>
      <c r="R12" s="77"/>
      <c r="S12" s="77"/>
      <c r="T12" s="77"/>
      <c r="U12" s="77"/>
    </row>
    <row r="13" spans="1:21" ht="14.25" customHeight="1">
      <c r="A13" s="104" t="s">
        <v>491</v>
      </c>
      <c r="B13" s="109">
        <f>'[2]สรุปรายจ่ายตามงบประมาณ '!D316</f>
        <v>570280</v>
      </c>
      <c r="C13" s="110">
        <f t="shared" si="0"/>
        <v>362833.86</v>
      </c>
      <c r="D13" s="109">
        <f>'[2]งบแสดงจากเงินรายรับและสะสม'!D13</f>
        <v>339990.57</v>
      </c>
      <c r="E13" s="109">
        <f>'[2]งบแสดงจากเงินรายรับและสะสม'!E13</f>
        <v>22843.29</v>
      </c>
      <c r="F13" s="109">
        <f>'[2]งบแสดงจากเงินรายรับและสะสม'!F13</f>
        <v>0</v>
      </c>
      <c r="G13" s="109">
        <f>'[2]งบแสดงจากเงินรายรับและสะสม'!G13</f>
        <v>0</v>
      </c>
      <c r="H13" s="109">
        <f>'[2]งบแสดงจากเงินรายรับและสะสม'!H13</f>
        <v>0</v>
      </c>
      <c r="I13" s="109">
        <f>'[2]งบแสดงจากเงินรายรับและสะสม'!I13</f>
        <v>0</v>
      </c>
      <c r="J13" s="109">
        <v>0</v>
      </c>
      <c r="K13" s="109">
        <f>'[2]งบแสดงจากเงินรายรับและสะสม'!K13</f>
        <v>0</v>
      </c>
      <c r="L13" s="109">
        <f>'[2]งบแสดงจากเงินรายรับและสะสม'!L13</f>
        <v>0</v>
      </c>
      <c r="M13" s="109">
        <v>0</v>
      </c>
      <c r="N13" s="109">
        <v>0</v>
      </c>
      <c r="O13" s="110">
        <v>0</v>
      </c>
      <c r="P13" s="85">
        <f t="shared" si="2"/>
        <v>362833.86</v>
      </c>
      <c r="Q13" s="85">
        <f t="shared" si="1"/>
        <v>0</v>
      </c>
      <c r="R13" s="77"/>
      <c r="S13" s="77"/>
      <c r="T13" s="77"/>
      <c r="U13" s="77"/>
    </row>
    <row r="14" spans="1:21" ht="14.25" customHeight="1">
      <c r="A14" s="104" t="s">
        <v>496</v>
      </c>
      <c r="B14" s="109">
        <f>'[2]สรุปรายจ่ายตามงบประมาณ '!D388</f>
        <v>411800</v>
      </c>
      <c r="C14" s="110">
        <f>SUM(D14:O14)</f>
        <v>316260</v>
      </c>
      <c r="D14" s="109">
        <f>'[2]งบแสดงจากเงินรายรับและสะสม'!D14</f>
        <v>108900</v>
      </c>
      <c r="E14" s="109">
        <f>'[2]งบแสดงจากเงินรายรับและสะสม'!E14</f>
        <v>44800</v>
      </c>
      <c r="F14" s="109">
        <f>'[2]งบแสดงจากเงินรายรับและสะสม'!F14</f>
        <v>27900</v>
      </c>
      <c r="G14" s="109">
        <f>'[2]งบแสดงจากเงินรายรับและสะสม'!G14</f>
        <v>30000</v>
      </c>
      <c r="H14" s="109">
        <f>'[2]งบแสดงจากเงินรายรับและสะสม'!H14</f>
        <v>0</v>
      </c>
      <c r="I14" s="109">
        <f>'[2]งบแสดงจากเงินรายรับและสะสม'!I14</f>
        <v>104660</v>
      </c>
      <c r="J14" s="109">
        <v>0</v>
      </c>
      <c r="K14" s="109">
        <f>'[2]งบแสดงจากเงินรายรับและสะสม'!K14</f>
        <v>0</v>
      </c>
      <c r="L14" s="109">
        <f>'[2]งบแสดงจากเงินรายรับและสะสม'!L14</f>
        <v>0</v>
      </c>
      <c r="M14" s="109">
        <v>0</v>
      </c>
      <c r="N14" s="109">
        <v>0</v>
      </c>
      <c r="O14" s="110">
        <v>0</v>
      </c>
      <c r="P14" s="85">
        <f>SUM(D14:O14)</f>
        <v>316260</v>
      </c>
      <c r="Q14" s="85">
        <f>P14-C14</f>
        <v>0</v>
      </c>
      <c r="R14" s="77"/>
      <c r="S14" s="77"/>
      <c r="T14" s="77"/>
      <c r="U14" s="77"/>
    </row>
    <row r="15" spans="1:19" ht="14.25" customHeight="1">
      <c r="A15" s="104" t="s">
        <v>497</v>
      </c>
      <c r="B15" s="109">
        <f>'[2]สรุปรายจ่ายตามงบประมาณ '!D420</f>
        <v>4820000</v>
      </c>
      <c r="C15" s="110">
        <f>SUM(D15:O15)</f>
        <v>4386700</v>
      </c>
      <c r="D15" s="109">
        <f>'[2]งบแสดงจากเงินรายรับและสะสม'!D15</f>
        <v>0</v>
      </c>
      <c r="E15" s="109">
        <f>'[2]งบแสดงจากเงินรายรับและสะสม'!E15</f>
        <v>0</v>
      </c>
      <c r="F15" s="109">
        <f>'[2]งบแสดงจากเงินรายรับและสะสม'!F15</f>
        <v>0</v>
      </c>
      <c r="G15" s="109">
        <f>'[2]งบแสดงจากเงินรายรับและสะสม'!G15</f>
        <v>0</v>
      </c>
      <c r="H15" s="109">
        <f>'[2]งบแสดงจากเงินรายรับและสะสม'!H15</f>
        <v>0</v>
      </c>
      <c r="I15" s="109">
        <f>'[2]งบแสดงจากเงินรายรับและสะสม'!I15</f>
        <v>4386700</v>
      </c>
      <c r="J15" s="109">
        <v>0</v>
      </c>
      <c r="K15" s="109">
        <f>'[2]งบแสดงจากเงินรายรับและสะสม'!K15</f>
        <v>0</v>
      </c>
      <c r="L15" s="109">
        <f>'[2]งบแสดงจากเงินรายรับและสะสม'!L15</f>
        <v>0</v>
      </c>
      <c r="M15" s="109">
        <v>0</v>
      </c>
      <c r="N15" s="109">
        <v>0</v>
      </c>
      <c r="O15" s="110">
        <v>0</v>
      </c>
      <c r="P15" s="85">
        <f>SUM(D15:O15)</f>
        <v>4386700</v>
      </c>
      <c r="Q15" s="85">
        <f>P15-C15</f>
        <v>0</v>
      </c>
      <c r="R15" s="77"/>
      <c r="S15" s="77"/>
    </row>
    <row r="16" spans="1:21" ht="14.25" customHeight="1">
      <c r="A16" s="104" t="s">
        <v>498</v>
      </c>
      <c r="B16" s="109">
        <f>'[2]สรุปรายจ่ายตามงบประมาณ '!D321</f>
        <v>35000</v>
      </c>
      <c r="C16" s="110">
        <f>SUM(D16:O16)</f>
        <v>27000</v>
      </c>
      <c r="D16" s="109">
        <f>'[2]งบแสดงจากเงินรายรับและสะสม'!D16</f>
        <v>27000</v>
      </c>
      <c r="E16" s="109">
        <f>'[2]งบแสดงจากเงินรายรับและสะสม'!E16</f>
        <v>0</v>
      </c>
      <c r="F16" s="109">
        <f>'[2]งบแสดงจากเงินรายรับและสะสม'!F16</f>
        <v>0</v>
      </c>
      <c r="G16" s="109">
        <f>'[2]งบแสดงจากเงินรายรับและสะสม'!G16</f>
        <v>0</v>
      </c>
      <c r="H16" s="109">
        <f>'[2]งบแสดงจากเงินรายรับและสะสม'!H16</f>
        <v>0</v>
      </c>
      <c r="I16" s="109">
        <f>'[2]งบแสดงจากเงินรายรับและสะสม'!I16</f>
        <v>0</v>
      </c>
      <c r="J16" s="109">
        <v>0</v>
      </c>
      <c r="K16" s="109">
        <f>'[2]งบแสดงจากเงินรายรับและสะสม'!K16</f>
        <v>0</v>
      </c>
      <c r="L16" s="109">
        <f>'[2]งบแสดงจากเงินรายรับและสะสม'!L16</f>
        <v>0</v>
      </c>
      <c r="M16" s="109">
        <v>0</v>
      </c>
      <c r="N16" s="109">
        <v>0</v>
      </c>
      <c r="O16" s="110">
        <v>0</v>
      </c>
      <c r="P16" s="85">
        <f>SUM(D16:O16)</f>
        <v>27000</v>
      </c>
      <c r="Q16" s="85">
        <f>P16-C16</f>
        <v>0</v>
      </c>
      <c r="R16" s="77"/>
      <c r="S16" s="77"/>
      <c r="T16" s="77"/>
      <c r="U16" s="77"/>
    </row>
    <row r="17" spans="1:21" ht="14.25" customHeight="1">
      <c r="A17" s="104" t="s">
        <v>490</v>
      </c>
      <c r="B17" s="109">
        <f>'[2]สรุปรายจ่ายตามงบประมาณ '!D345</f>
        <v>2007000</v>
      </c>
      <c r="C17" s="110">
        <f>SUM(D17:O17)</f>
        <v>1836000</v>
      </c>
      <c r="D17" s="109">
        <f>'[2]งบแสดงจากเงินรายรับและสะสม'!D17</f>
        <v>0</v>
      </c>
      <c r="E17" s="109">
        <f>'[2]งบแสดงจากเงินรายรับและสะสม'!E17</f>
        <v>1496000</v>
      </c>
      <c r="F17" s="109">
        <f>'[2]งบแสดงจากเงินรายรับและสะสม'!F17</f>
        <v>340000</v>
      </c>
      <c r="G17" s="109">
        <f>'[2]งบแสดงจากเงินรายรับและสะสม'!G17</f>
        <v>0</v>
      </c>
      <c r="H17" s="109">
        <f>'[2]งบแสดงจากเงินรายรับและสะสม'!H17</f>
        <v>0</v>
      </c>
      <c r="I17" s="109">
        <f>'[2]งบแสดงจากเงินรายรับและสะสม'!I17</f>
        <v>0</v>
      </c>
      <c r="J17" s="109">
        <v>0</v>
      </c>
      <c r="K17" s="109">
        <f>'[2]งบแสดงจากเงินรายรับและสะสม'!K17</f>
        <v>0</v>
      </c>
      <c r="L17" s="109">
        <f>'[2]งบแสดงจากเงินรายรับและสะสม'!L17</f>
        <v>0</v>
      </c>
      <c r="M17" s="109">
        <v>0</v>
      </c>
      <c r="N17" s="109">
        <v>0</v>
      </c>
      <c r="O17" s="110">
        <v>0</v>
      </c>
      <c r="P17" s="85">
        <f t="shared" si="2"/>
        <v>1836000</v>
      </c>
      <c r="Q17" s="85">
        <f t="shared" si="1"/>
        <v>0</v>
      </c>
      <c r="R17" s="77"/>
      <c r="S17" s="77"/>
      <c r="T17" s="77"/>
      <c r="U17" s="77"/>
    </row>
    <row r="18" spans="1:19" ht="14.25" customHeight="1">
      <c r="A18" s="452" t="s">
        <v>60</v>
      </c>
      <c r="B18" s="112">
        <f>SUM(B7:B17)</f>
        <v>46535000</v>
      </c>
      <c r="C18" s="453">
        <f>SUM(C7:C17)</f>
        <v>37900015.769999996</v>
      </c>
      <c r="D18" s="112">
        <f aca="true" t="shared" si="3" ref="D18:N18">SUM(D8:D17)</f>
        <v>9481158.47</v>
      </c>
      <c r="E18" s="112">
        <f t="shared" si="3"/>
        <v>5581596.65</v>
      </c>
      <c r="F18" s="112">
        <f t="shared" si="3"/>
        <v>761602</v>
      </c>
      <c r="G18" s="112">
        <f t="shared" si="3"/>
        <v>141490</v>
      </c>
      <c r="H18" s="112">
        <f t="shared" si="3"/>
        <v>1001772</v>
      </c>
      <c r="I18" s="112">
        <f t="shared" si="3"/>
        <v>6265057.65</v>
      </c>
      <c r="J18" s="112">
        <f t="shared" si="3"/>
        <v>0</v>
      </c>
      <c r="K18" s="112">
        <f t="shared" si="3"/>
        <v>43340</v>
      </c>
      <c r="L18" s="112">
        <f t="shared" si="3"/>
        <v>44206</v>
      </c>
      <c r="M18" s="112">
        <f t="shared" si="3"/>
        <v>178304</v>
      </c>
      <c r="N18" s="112">
        <f t="shared" si="3"/>
        <v>0</v>
      </c>
      <c r="O18" s="112">
        <f>SUM(O7:O17)</f>
        <v>14401489</v>
      </c>
      <c r="P18" s="11">
        <f>SUM(P8:P17)</f>
        <v>23498526.77</v>
      </c>
      <c r="Q18" s="85">
        <f>O18+N18+M18+L18+K18+I18+H18+G18+F18+E18+D18</f>
        <v>37900015.769999996</v>
      </c>
      <c r="R18" s="77"/>
      <c r="S18" s="77"/>
    </row>
    <row r="19" spans="1:19" ht="14.25" customHeight="1">
      <c r="A19" s="456" t="s">
        <v>119</v>
      </c>
      <c r="B19" s="457"/>
      <c r="C19" s="457"/>
      <c r="D19" s="114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Q19" s="77">
        <v>0</v>
      </c>
      <c r="R19" s="77"/>
      <c r="S19" s="77"/>
    </row>
    <row r="20" spans="1:19" ht="14.25" customHeight="1">
      <c r="A20" s="104" t="s">
        <v>120</v>
      </c>
      <c r="B20" s="109">
        <f>'[2]งบรับ-จ่ายรวมเงินอุดหนุน'!B12</f>
        <v>304000</v>
      </c>
      <c r="C20" s="110">
        <f>'[2]งบแสดงจากเงินรายรับและสะสม'!C20</f>
        <v>300746.76</v>
      </c>
      <c r="D20" s="111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/>
      <c r="K20" s="109">
        <v>0</v>
      </c>
      <c r="L20" s="109">
        <v>0</v>
      </c>
      <c r="M20" s="109">
        <v>0</v>
      </c>
      <c r="N20" s="109"/>
      <c r="O20" s="109">
        <v>0</v>
      </c>
      <c r="Q20" s="85" t="e">
        <f>+Q19-#REF!</f>
        <v>#REF!</v>
      </c>
      <c r="R20" s="77"/>
      <c r="S20" s="77"/>
    </row>
    <row r="21" spans="1:15" ht="14.25" customHeight="1">
      <c r="A21" s="104" t="s">
        <v>121</v>
      </c>
      <c r="B21" s="109">
        <f>'[2]งบรับ-จ่ายรวมเงินอุดหนุน'!B39</f>
        <v>184100</v>
      </c>
      <c r="C21" s="110">
        <f>'[2]งบแสดงจากเงินรายรับและสะสม'!C21</f>
        <v>202158</v>
      </c>
      <c r="D21" s="111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/>
      <c r="K21" s="109">
        <v>0</v>
      </c>
      <c r="L21" s="109">
        <v>0</v>
      </c>
      <c r="M21" s="109">
        <v>0</v>
      </c>
      <c r="N21" s="109"/>
      <c r="O21" s="109">
        <v>0</v>
      </c>
    </row>
    <row r="22" spans="1:18" ht="14.25" customHeight="1">
      <c r="A22" s="104" t="s">
        <v>122</v>
      </c>
      <c r="B22" s="109">
        <f>'[2]งบรับ-จ่ายรวมเงินอุดหนุน'!B42</f>
        <v>131000</v>
      </c>
      <c r="C22" s="110">
        <f>'[2]งบแสดงจากเงินรายรับและสะสม'!C22</f>
        <v>187567.88</v>
      </c>
      <c r="D22" s="111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/>
      <c r="K22" s="109">
        <v>0</v>
      </c>
      <c r="L22" s="109">
        <v>0</v>
      </c>
      <c r="M22" s="109">
        <v>0</v>
      </c>
      <c r="N22" s="109"/>
      <c r="O22" s="109">
        <v>0</v>
      </c>
      <c r="R22" s="80"/>
    </row>
    <row r="23" spans="1:15" ht="14.25" customHeight="1">
      <c r="A23" s="104" t="s">
        <v>123</v>
      </c>
      <c r="B23" s="109">
        <f>'[2]งบรับ-จ่ายรวมเงินอุดหนุน'!B51</f>
        <v>136400</v>
      </c>
      <c r="C23" s="110">
        <f>'[2]งบแสดงจากเงินรายรับและสะสม'!C23</f>
        <v>4323</v>
      </c>
      <c r="D23" s="111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/>
      <c r="K23" s="109">
        <v>0</v>
      </c>
      <c r="L23" s="109">
        <v>0</v>
      </c>
      <c r="M23" s="109">
        <v>0</v>
      </c>
      <c r="N23" s="109"/>
      <c r="O23" s="109">
        <v>0</v>
      </c>
    </row>
    <row r="24" spans="1:15" ht="14.25" customHeight="1">
      <c r="A24" s="104" t="s">
        <v>487</v>
      </c>
      <c r="B24" s="109">
        <f>'[2]งบรับ-จ่ายรวมเงินอุดหนุน'!B54</f>
        <v>500</v>
      </c>
      <c r="C24" s="110">
        <f>'[2]งบแสดงจากเงินรายรับและสะสม'!C24</f>
        <v>0</v>
      </c>
      <c r="D24" s="111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/>
      <c r="K24" s="109">
        <v>0</v>
      </c>
      <c r="L24" s="109">
        <v>0</v>
      </c>
      <c r="M24" s="109">
        <v>0</v>
      </c>
      <c r="N24" s="109"/>
      <c r="O24" s="109">
        <v>0</v>
      </c>
    </row>
    <row r="25" spans="1:15" ht="14.25" customHeight="1">
      <c r="A25" s="104" t="s">
        <v>124</v>
      </c>
      <c r="B25" s="109">
        <f>'[2]งบรับ-จ่ายรวมเงินอุดหนุน'!B23</f>
        <v>18564000</v>
      </c>
      <c r="C25" s="110">
        <f>'[2]งบแสดงจากเงินรายรับและสะสม'!C25</f>
        <v>19936365.63</v>
      </c>
      <c r="D25" s="111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/>
      <c r="K25" s="109">
        <v>0</v>
      </c>
      <c r="L25" s="109">
        <v>0</v>
      </c>
      <c r="M25" s="109">
        <v>0</v>
      </c>
      <c r="N25" s="109"/>
      <c r="O25" s="109">
        <v>0</v>
      </c>
    </row>
    <row r="26" spans="1:15" ht="14.25" customHeight="1">
      <c r="A26" s="104" t="s">
        <v>125</v>
      </c>
      <c r="B26" s="109">
        <f>'[2]งบรับ-จ่ายรวมเงินอุดหนุน'!B60</f>
        <v>27215000</v>
      </c>
      <c r="C26" s="110">
        <f>'[2]งบแสดงจากเงินรายรับและสะสม'!C26</f>
        <v>22350376</v>
      </c>
      <c r="D26" s="111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/>
      <c r="K26" s="109">
        <v>0</v>
      </c>
      <c r="L26" s="109">
        <v>0</v>
      </c>
      <c r="M26" s="109">
        <v>0</v>
      </c>
      <c r="N26" s="109"/>
      <c r="O26" s="109">
        <v>0</v>
      </c>
    </row>
    <row r="27" spans="1:15" ht="14.25" customHeight="1">
      <c r="A27" s="104" t="s">
        <v>142</v>
      </c>
      <c r="B27" s="109">
        <v>0</v>
      </c>
      <c r="C27" s="110">
        <f>'[2]งบแสดงจากเงินรายรับและสะสม'!C27</f>
        <v>0</v>
      </c>
      <c r="D27" s="111">
        <v>0</v>
      </c>
      <c r="E27" s="109">
        <v>0</v>
      </c>
      <c r="F27" s="109">
        <v>0</v>
      </c>
      <c r="G27" s="109">
        <v>0</v>
      </c>
      <c r="H27" s="109"/>
      <c r="I27" s="109">
        <v>0</v>
      </c>
      <c r="J27" s="109"/>
      <c r="K27" s="109">
        <v>0</v>
      </c>
      <c r="L27" s="109">
        <v>0</v>
      </c>
      <c r="M27" s="109">
        <v>0</v>
      </c>
      <c r="N27" s="109"/>
      <c r="O27" s="109">
        <v>0</v>
      </c>
    </row>
    <row r="28" spans="1:15" ht="14.25" customHeight="1">
      <c r="A28" s="459" t="s">
        <v>60</v>
      </c>
      <c r="B28" s="460">
        <f aca="true" t="shared" si="4" ref="B28:I28">SUM(B20:B27)</f>
        <v>46535000</v>
      </c>
      <c r="C28" s="454">
        <f t="shared" si="4"/>
        <v>42981537.269999996</v>
      </c>
      <c r="D28" s="454">
        <f t="shared" si="4"/>
        <v>0</v>
      </c>
      <c r="E28" s="454">
        <f t="shared" si="4"/>
        <v>0</v>
      </c>
      <c r="F28" s="454">
        <f t="shared" si="4"/>
        <v>0</v>
      </c>
      <c r="G28" s="454">
        <f t="shared" si="4"/>
        <v>0</v>
      </c>
      <c r="H28" s="454">
        <f t="shared" si="4"/>
        <v>0</v>
      </c>
      <c r="I28" s="454">
        <f t="shared" si="4"/>
        <v>0</v>
      </c>
      <c r="J28" s="454"/>
      <c r="K28" s="454">
        <f>SUM(K20:K27)</f>
        <v>0</v>
      </c>
      <c r="L28" s="454">
        <f>SUM(L20:L27)</f>
        <v>0</v>
      </c>
      <c r="M28" s="454">
        <f>SUM(M20:M27)</f>
        <v>0</v>
      </c>
      <c r="N28" s="454"/>
      <c r="O28" s="454">
        <f>SUM(O20:O27)</f>
        <v>0</v>
      </c>
    </row>
    <row r="29" spans="1:15" ht="14.25" customHeight="1" thickBot="1">
      <c r="A29" s="710" t="s">
        <v>126</v>
      </c>
      <c r="B29" s="711"/>
      <c r="C29" s="86">
        <f>C28-C18</f>
        <v>5081521.5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80"/>
    </row>
    <row r="30" spans="1:15" ht="14.25" customHeight="1" thickTop="1">
      <c r="A30" s="79"/>
      <c r="B30" s="182"/>
      <c r="C30" s="8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80"/>
    </row>
    <row r="31" spans="1:15" s="102" customFormat="1" ht="14.25" customHeight="1">
      <c r="A31" s="705" t="s">
        <v>685</v>
      </c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705"/>
      <c r="M31" s="705"/>
      <c r="N31" s="705"/>
      <c r="O31" s="705"/>
    </row>
    <row r="33" spans="1:3" ht="18">
      <c r="A33" s="80"/>
      <c r="C33" s="80"/>
    </row>
    <row r="34" spans="1:3" ht="18">
      <c r="A34" s="80"/>
      <c r="C34" s="80"/>
    </row>
    <row r="35" spans="1:3" ht="18">
      <c r="A35" s="80"/>
      <c r="C35" s="80"/>
    </row>
    <row r="36" spans="1:3" ht="18">
      <c r="A36" s="80"/>
      <c r="C36" s="80"/>
    </row>
    <row r="37" spans="1:3" ht="18">
      <c r="A37" s="80"/>
      <c r="C37" s="80"/>
    </row>
    <row r="38" spans="1:3" ht="18">
      <c r="A38" s="80"/>
      <c r="C38" s="80"/>
    </row>
    <row r="39" ht="18">
      <c r="C39" s="80"/>
    </row>
    <row r="40" spans="3:6" ht="18.75">
      <c r="C40" s="85"/>
      <c r="E40" s="81"/>
      <c r="F40" s="82"/>
    </row>
    <row r="41" spans="3:5" ht="18">
      <c r="C41" s="80"/>
      <c r="E41" s="83"/>
    </row>
    <row r="42" spans="1:3" ht="18">
      <c r="A42" s="80"/>
      <c r="C42" s="80"/>
    </row>
    <row r="43" spans="2:3" ht="18">
      <c r="B43" s="114"/>
      <c r="C43" s="85"/>
    </row>
  </sheetData>
  <sheetProtection/>
  <mergeCells count="20">
    <mergeCell ref="G4:G5"/>
    <mergeCell ref="N4:N5"/>
    <mergeCell ref="O4:O5"/>
    <mergeCell ref="A29:B29"/>
    <mergeCell ref="H4:H5"/>
    <mergeCell ref="I4:I5"/>
    <mergeCell ref="J4:J5"/>
    <mergeCell ref="K4:K5"/>
    <mergeCell ref="L4:L5"/>
    <mergeCell ref="M4:M5"/>
    <mergeCell ref="A31:O31"/>
    <mergeCell ref="A1:O1"/>
    <mergeCell ref="A2:O2"/>
    <mergeCell ref="A3:O3"/>
    <mergeCell ref="A4:A5"/>
    <mergeCell ref="B4:B5"/>
    <mergeCell ref="C4:C5"/>
    <mergeCell ref="D4:D5"/>
    <mergeCell ref="E4:E5"/>
    <mergeCell ref="F4:F5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3"/>
  <sheetViews>
    <sheetView zoomScale="130" zoomScaleNormal="130" zoomScalePageLayoutView="0" workbookViewId="0" topLeftCell="A1">
      <selection activeCell="H24" sqref="H24"/>
    </sheetView>
  </sheetViews>
  <sheetFormatPr defaultColWidth="9.7109375" defaultRowHeight="15"/>
  <cols>
    <col min="1" max="1" width="17.28125" style="10" customWidth="1"/>
    <col min="2" max="2" width="9.421875" style="102" customWidth="1"/>
    <col min="3" max="3" width="9.7109375" style="10" customWidth="1"/>
    <col min="4" max="4" width="9.421875" style="10" customWidth="1"/>
    <col min="5" max="5" width="8.57421875" style="10" customWidth="1"/>
    <col min="6" max="7" width="8.8515625" style="10" customWidth="1"/>
    <col min="8" max="9" width="9.140625" style="10" customWidth="1"/>
    <col min="10" max="10" width="6.421875" style="10" customWidth="1"/>
    <col min="11" max="11" width="8.00390625" style="10" customWidth="1"/>
    <col min="12" max="12" width="7.7109375" style="10" customWidth="1"/>
    <col min="13" max="13" width="8.140625" style="10" customWidth="1"/>
    <col min="14" max="14" width="4.421875" style="10" customWidth="1"/>
    <col min="15" max="15" width="9.8515625" style="10" customWidth="1"/>
    <col min="16" max="16" width="11.57421875" style="10" customWidth="1"/>
    <col min="17" max="16384" width="9.7109375" style="10" customWidth="1"/>
  </cols>
  <sheetData>
    <row r="1" spans="1:15" s="102" customFormat="1" ht="14.25" customHeight="1">
      <c r="A1" s="706" t="s">
        <v>360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</row>
    <row r="2" spans="1:15" s="102" customFormat="1" ht="14.25" customHeight="1">
      <c r="A2" s="706" t="s">
        <v>1136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1:15" s="102" customFormat="1" ht="14.25" customHeight="1">
      <c r="A3" s="706" t="s">
        <v>1103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</row>
    <row r="4" spans="1:15" ht="14.25" customHeight="1">
      <c r="A4" s="707" t="s">
        <v>64</v>
      </c>
      <c r="B4" s="708" t="s">
        <v>106</v>
      </c>
      <c r="C4" s="707" t="s">
        <v>60</v>
      </c>
      <c r="D4" s="707" t="s">
        <v>81</v>
      </c>
      <c r="E4" s="707" t="s">
        <v>88</v>
      </c>
      <c r="F4" s="707" t="s">
        <v>84</v>
      </c>
      <c r="G4" s="707" t="s">
        <v>107</v>
      </c>
      <c r="H4" s="707" t="s">
        <v>108</v>
      </c>
      <c r="I4" s="707" t="s">
        <v>83</v>
      </c>
      <c r="J4" s="707" t="s">
        <v>484</v>
      </c>
      <c r="K4" s="712" t="s">
        <v>109</v>
      </c>
      <c r="L4" s="714" t="s">
        <v>110</v>
      </c>
      <c r="M4" s="707" t="s">
        <v>111</v>
      </c>
      <c r="N4" s="707" t="s">
        <v>112</v>
      </c>
      <c r="O4" s="707" t="s">
        <v>113</v>
      </c>
    </row>
    <row r="5" spans="1:15" ht="14.25" customHeight="1">
      <c r="A5" s="702"/>
      <c r="B5" s="709"/>
      <c r="C5" s="702"/>
      <c r="D5" s="702"/>
      <c r="E5" s="702"/>
      <c r="F5" s="702"/>
      <c r="G5" s="702"/>
      <c r="H5" s="702"/>
      <c r="I5" s="702"/>
      <c r="J5" s="702"/>
      <c r="K5" s="713"/>
      <c r="L5" s="715"/>
      <c r="M5" s="702"/>
      <c r="N5" s="702"/>
      <c r="O5" s="702"/>
    </row>
    <row r="6" spans="1:21" ht="14.25" customHeight="1">
      <c r="A6" s="103" t="s">
        <v>114</v>
      </c>
      <c r="B6" s="104"/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R6" s="72"/>
      <c r="S6" s="72"/>
      <c r="T6" s="73"/>
      <c r="U6" s="73"/>
    </row>
    <row r="7" spans="1:21" ht="14.25" customHeight="1">
      <c r="A7" s="104" t="s">
        <v>489</v>
      </c>
      <c r="B7" s="109">
        <f>'[2]สรุปรายจ่ายตามงบประมาณ '!D15</f>
        <v>16194980</v>
      </c>
      <c r="C7" s="110">
        <f>SUM(D7:O7)</f>
        <v>14401489</v>
      </c>
      <c r="D7" s="109"/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/>
      <c r="K7" s="109">
        <v>0</v>
      </c>
      <c r="L7" s="109">
        <v>0</v>
      </c>
      <c r="M7" s="109">
        <v>0</v>
      </c>
      <c r="N7" s="110">
        <v>0</v>
      </c>
      <c r="O7" s="109">
        <f>'[2]แผนงานงบกลาง'!F8</f>
        <v>14401489</v>
      </c>
      <c r="P7" s="85">
        <f>SUM(D7:O7)</f>
        <v>14401489</v>
      </c>
      <c r="Q7" s="85">
        <f>P7-C7</f>
        <v>0</v>
      </c>
      <c r="R7" s="77"/>
      <c r="S7" s="77"/>
      <c r="T7" s="77"/>
      <c r="U7" s="77"/>
    </row>
    <row r="8" spans="1:21" ht="14.25" customHeight="1">
      <c r="A8" s="104" t="s">
        <v>495</v>
      </c>
      <c r="B8" s="109">
        <f>'[2]สรุปรายจ่ายตามงบประมาณ '!D23</f>
        <v>3155120</v>
      </c>
      <c r="C8" s="110">
        <f aca="true" t="shared" si="0" ref="C8:C13">SUM(D8:O8)</f>
        <v>2868085</v>
      </c>
      <c r="D8" s="109">
        <f>'[2]งบแสดงจากเงินรายรับและสะสม'!D8</f>
        <v>2868085</v>
      </c>
      <c r="E8" s="109"/>
      <c r="F8" s="109"/>
      <c r="G8" s="109">
        <v>0</v>
      </c>
      <c r="H8" s="109">
        <v>0</v>
      </c>
      <c r="I8" s="109">
        <v>0</v>
      </c>
      <c r="J8" s="109"/>
      <c r="K8" s="109">
        <v>0</v>
      </c>
      <c r="L8" s="109">
        <v>0</v>
      </c>
      <c r="M8" s="109">
        <v>0</v>
      </c>
      <c r="N8" s="110">
        <v>0</v>
      </c>
      <c r="O8" s="110">
        <v>0</v>
      </c>
      <c r="P8" s="85">
        <f>SUM(D8:O8)</f>
        <v>2868085</v>
      </c>
      <c r="Q8" s="85">
        <f aca="true" t="shared" si="1" ref="Q8:Q17">P8-C8</f>
        <v>0</v>
      </c>
      <c r="R8" s="77"/>
      <c r="S8" s="77"/>
      <c r="T8" s="77"/>
      <c r="U8" s="77"/>
    </row>
    <row r="9" spans="1:21" ht="14.25" customHeight="1">
      <c r="A9" s="104" t="s">
        <v>488</v>
      </c>
      <c r="B9" s="109">
        <f>'[2]สรุปรายจ่ายตามงบประมาณ '!D82</f>
        <v>10805050</v>
      </c>
      <c r="C9" s="110">
        <f t="shared" si="0"/>
        <v>8980054</v>
      </c>
      <c r="D9" s="109">
        <f>'[2]งบแสดงจากเงินรายรับและสะสม'!D9</f>
        <v>4663117</v>
      </c>
      <c r="E9" s="109">
        <f>'[2]งบแสดงจากเงินรายรับและสะสม'!E9</f>
        <v>2164999</v>
      </c>
      <c r="F9" s="109">
        <f>'[2]งบแสดงจากเงินรายรับและสะสม'!F9</f>
        <v>241440</v>
      </c>
      <c r="G9" s="109">
        <f>'[2]งบแสดงจากเงินรายรับและสะสม'!G9</f>
        <v>0</v>
      </c>
      <c r="H9" s="109">
        <f>'[2]งบแสดงจากเงินรายรับและสะสม'!H9</f>
        <v>935100</v>
      </c>
      <c r="I9" s="109">
        <f>'[2]งบแสดงจากเงินรายรับและสะสม'!I9</f>
        <v>834964</v>
      </c>
      <c r="J9" s="109"/>
      <c r="K9" s="109">
        <f>'[2]งบแสดงจากเงินรายรับและสะสม'!K9</f>
        <v>0</v>
      </c>
      <c r="L9" s="109">
        <f>'[2]งบแสดงจากเงินรายรับและสะสม'!L9</f>
        <v>0</v>
      </c>
      <c r="M9" s="109">
        <f>'[2]งบแสดงจากเงินรายรับและสะสม'!M9</f>
        <v>140434</v>
      </c>
      <c r="N9" s="110">
        <v>0</v>
      </c>
      <c r="O9" s="110">
        <v>0</v>
      </c>
      <c r="P9" s="85">
        <f>SUM(D9:O9)</f>
        <v>8980054</v>
      </c>
      <c r="Q9" s="85">
        <f t="shared" si="1"/>
        <v>0</v>
      </c>
      <c r="R9" s="77"/>
      <c r="S9" s="77"/>
      <c r="T9" s="77"/>
      <c r="U9" s="77"/>
    </row>
    <row r="10" spans="1:21" ht="14.25" customHeight="1">
      <c r="A10" s="104" t="s">
        <v>494</v>
      </c>
      <c r="B10" s="109">
        <f>'[2]สรุปรายจ่ายตามงบประมาณ '!D133</f>
        <v>1141080</v>
      </c>
      <c r="C10" s="110">
        <f t="shared" si="0"/>
        <v>386500</v>
      </c>
      <c r="D10" s="109">
        <f>'[2]งบแสดงจากเงินรายรับและสะสม'!D10</f>
        <v>239700</v>
      </c>
      <c r="E10" s="109">
        <f>'[2]งบแสดงจากเงินรายรับและสะสม'!E10</f>
        <v>29800</v>
      </c>
      <c r="F10" s="109">
        <f>'[2]งบแสดงจากเงินรายรับและสะสม'!F10</f>
        <v>0</v>
      </c>
      <c r="G10" s="109">
        <f>'[2]งบแสดงจากเงินรายรับและสะสม'!G10</f>
        <v>42000</v>
      </c>
      <c r="H10" s="109">
        <f>'[2]งบแสดงจากเงินรายรับและสะสม'!H10</f>
        <v>36000</v>
      </c>
      <c r="I10" s="109">
        <f>'[2]งบแสดงจากเงินรายรับและสะสม'!I10</f>
        <v>39000</v>
      </c>
      <c r="J10" s="109"/>
      <c r="K10" s="109">
        <f>'[2]งบแสดงจากเงินรายรับและสะสม'!K10</f>
        <v>0</v>
      </c>
      <c r="L10" s="109">
        <f>'[2]งบแสดงจากเงินรายรับและสะสม'!L10</f>
        <v>0</v>
      </c>
      <c r="M10" s="109">
        <f>'[2]สรุปรายจ่ายตามงบประมาณ '!E132</f>
        <v>0</v>
      </c>
      <c r="N10" s="110">
        <v>0</v>
      </c>
      <c r="O10" s="110">
        <v>0</v>
      </c>
      <c r="P10" s="85">
        <f aca="true" t="shared" si="2" ref="P10:P17">SUM(D10:O10)</f>
        <v>386500</v>
      </c>
      <c r="Q10" s="85">
        <f t="shared" si="1"/>
        <v>0</v>
      </c>
      <c r="R10" s="77"/>
      <c r="S10" s="77"/>
      <c r="T10" s="77"/>
      <c r="U10" s="77"/>
    </row>
    <row r="11" spans="1:21" ht="14.25" customHeight="1">
      <c r="A11" s="104" t="s">
        <v>493</v>
      </c>
      <c r="B11" s="109">
        <f>'[2]สรุปรายจ่ายตามงบประมาณ '!D256</f>
        <v>5457450</v>
      </c>
      <c r="C11" s="110">
        <f t="shared" si="0"/>
        <v>2806550</v>
      </c>
      <c r="D11" s="109">
        <f>'[2]งบแสดงจากเงินรายรับและสะสม'!D11</f>
        <v>766166</v>
      </c>
      <c r="E11" s="109">
        <f>'[2]งบแสดงจากเงินรายรับและสะสม'!E11</f>
        <v>981033</v>
      </c>
      <c r="F11" s="109">
        <f>'[2]งบแสดงจากเงินรายรับและสะสม'!F11</f>
        <v>102012</v>
      </c>
      <c r="G11" s="109">
        <f>'[2]งบแสดงจากเงินรายรับและสะสม'!G11</f>
        <v>38890</v>
      </c>
      <c r="H11" s="109">
        <f>'[2]งบแสดงจากเงินรายรับและสะสม'!H11</f>
        <v>20672</v>
      </c>
      <c r="I11" s="109">
        <f>'[2]งบแสดงจากเงินรายรับและสะสม'!I11</f>
        <v>772361</v>
      </c>
      <c r="J11" s="109">
        <v>0</v>
      </c>
      <c r="K11" s="109">
        <f>'[2]งบแสดงจากเงินรายรับและสะสม'!K11</f>
        <v>43340</v>
      </c>
      <c r="L11" s="109">
        <f>'[2]งบแสดงจากเงินรายรับและสะสม'!L11</f>
        <v>44206</v>
      </c>
      <c r="M11" s="109">
        <f>'[2]สรุปรายจ่ายตามงบประมาณ '!E249+'[2]สรุปรายจ่ายตามงบประมาณ '!E255</f>
        <v>37870</v>
      </c>
      <c r="N11" s="110">
        <v>0</v>
      </c>
      <c r="O11" s="110">
        <v>0</v>
      </c>
      <c r="P11" s="85">
        <f t="shared" si="2"/>
        <v>2806550</v>
      </c>
      <c r="Q11" s="85">
        <f t="shared" si="1"/>
        <v>0</v>
      </c>
      <c r="R11" s="77"/>
      <c r="S11" s="77"/>
      <c r="T11" s="77"/>
      <c r="U11" s="77"/>
    </row>
    <row r="12" spans="1:21" ht="14.25" customHeight="1">
      <c r="A12" s="104" t="s">
        <v>492</v>
      </c>
      <c r="B12" s="109">
        <f>'[2]สรุปรายจ่ายตามงบประมาณ '!D303</f>
        <v>1937240</v>
      </c>
      <c r="C12" s="110">
        <f>SUM(D12:O12)</f>
        <v>1528543.91</v>
      </c>
      <c r="D12" s="109">
        <f>'[2]งบแสดงจากเงินรายรับและสะสม'!D12</f>
        <v>468199.9</v>
      </c>
      <c r="E12" s="109">
        <f>'[2]งบแสดงจากเงินรายรับและสะสม'!E12</f>
        <v>842121.36</v>
      </c>
      <c r="F12" s="109">
        <f>'[2]งบแสดงจากเงินรายรับและสะสม'!F12</f>
        <v>50250</v>
      </c>
      <c r="G12" s="109">
        <f>'[2]งบแสดงจากเงินรายรับและสะสม'!G12</f>
        <v>30600</v>
      </c>
      <c r="H12" s="109">
        <f>'[2]งบแสดงจากเงินรายรับและสะสม'!H12</f>
        <v>10000</v>
      </c>
      <c r="I12" s="109">
        <f>'[2]งบแสดงจากเงินรายรับและสะสม'!I12</f>
        <v>127372.65</v>
      </c>
      <c r="J12" s="109">
        <f>'[2]สรุปรายจ่ายตามงบประมาณ '!E203</f>
        <v>0</v>
      </c>
      <c r="K12" s="109">
        <f>'[2]งบแสดงจากเงินรายรับและสะสม'!K12</f>
        <v>0</v>
      </c>
      <c r="L12" s="109">
        <f>'[2]งบแสดงจากเงินรายรับและสะสม'!L12</f>
        <v>0</v>
      </c>
      <c r="M12" s="109">
        <f>'[2]สรุปรายจ่ายตามงบประมาณ '!E302</f>
        <v>0</v>
      </c>
      <c r="N12" s="110">
        <v>0</v>
      </c>
      <c r="O12" s="110">
        <v>0</v>
      </c>
      <c r="P12" s="85">
        <f t="shared" si="2"/>
        <v>1528543.91</v>
      </c>
      <c r="Q12" s="85">
        <f t="shared" si="1"/>
        <v>0</v>
      </c>
      <c r="R12" s="77"/>
      <c r="S12" s="77"/>
      <c r="T12" s="77"/>
      <c r="U12" s="77"/>
    </row>
    <row r="13" spans="1:21" ht="14.25" customHeight="1">
      <c r="A13" s="104" t="s">
        <v>491</v>
      </c>
      <c r="B13" s="109">
        <f>'[2]สรุปรายจ่ายตามงบประมาณ '!D316</f>
        <v>570280</v>
      </c>
      <c r="C13" s="110">
        <f t="shared" si="0"/>
        <v>362833.86</v>
      </c>
      <c r="D13" s="109">
        <f>'[2]งบแสดงจากเงินรายรับและสะสม'!D13</f>
        <v>339990.57</v>
      </c>
      <c r="E13" s="109">
        <f>'[2]งบแสดงจากเงินรายรับและสะสม'!E13</f>
        <v>22843.29</v>
      </c>
      <c r="F13" s="109">
        <f>'[2]งบแสดงจากเงินรายรับและสะสม'!F13</f>
        <v>0</v>
      </c>
      <c r="G13" s="109">
        <f>'[2]งบแสดงจากเงินรายรับและสะสม'!G13</f>
        <v>0</v>
      </c>
      <c r="H13" s="109">
        <f>'[2]งบแสดงจากเงินรายรับและสะสม'!H13</f>
        <v>0</v>
      </c>
      <c r="I13" s="109">
        <f>'[2]งบแสดงจากเงินรายรับและสะสม'!I13</f>
        <v>0</v>
      </c>
      <c r="J13" s="109">
        <v>0</v>
      </c>
      <c r="K13" s="109">
        <f>'[2]งบแสดงจากเงินรายรับและสะสม'!K13</f>
        <v>0</v>
      </c>
      <c r="L13" s="109">
        <f>'[2]งบแสดงจากเงินรายรับและสะสม'!L13</f>
        <v>0</v>
      </c>
      <c r="M13" s="109">
        <v>0</v>
      </c>
      <c r="N13" s="109">
        <v>0</v>
      </c>
      <c r="O13" s="110">
        <v>0</v>
      </c>
      <c r="P13" s="85">
        <f t="shared" si="2"/>
        <v>362833.86</v>
      </c>
      <c r="Q13" s="85">
        <f t="shared" si="1"/>
        <v>0</v>
      </c>
      <c r="R13" s="77"/>
      <c r="S13" s="77"/>
      <c r="T13" s="77"/>
      <c r="U13" s="77"/>
    </row>
    <row r="14" spans="1:21" ht="14.25" customHeight="1">
      <c r="A14" s="104" t="s">
        <v>496</v>
      </c>
      <c r="B14" s="109">
        <f>'[2]สรุปรายจ่ายตามงบประมาณ '!D388</f>
        <v>411800</v>
      </c>
      <c r="C14" s="110">
        <f>SUM(D14:O14)</f>
        <v>316260</v>
      </c>
      <c r="D14" s="109">
        <f>'[2]งบแสดงจากเงินรายรับและสะสม'!D14</f>
        <v>108900</v>
      </c>
      <c r="E14" s="109">
        <f>'[2]งบแสดงจากเงินรายรับและสะสม'!E14</f>
        <v>44800</v>
      </c>
      <c r="F14" s="109">
        <f>'[2]งบแสดงจากเงินรายรับและสะสม'!F14</f>
        <v>27900</v>
      </c>
      <c r="G14" s="109">
        <f>'[2]งบแสดงจากเงินรายรับและสะสม'!G14</f>
        <v>30000</v>
      </c>
      <c r="H14" s="109">
        <f>'[2]งบแสดงจากเงินรายรับและสะสม'!H14</f>
        <v>0</v>
      </c>
      <c r="I14" s="109">
        <f>'[2]งบแสดงจากเงินรายรับและสะสม'!I14</f>
        <v>104660</v>
      </c>
      <c r="J14" s="109">
        <v>0</v>
      </c>
      <c r="K14" s="109">
        <f>'[2]งบแสดงจากเงินรายรับและสะสม'!K14</f>
        <v>0</v>
      </c>
      <c r="L14" s="109">
        <f>'[2]งบแสดงจากเงินรายรับและสะสม'!L14</f>
        <v>0</v>
      </c>
      <c r="M14" s="109">
        <v>0</v>
      </c>
      <c r="N14" s="109">
        <v>0</v>
      </c>
      <c r="O14" s="110">
        <v>0</v>
      </c>
      <c r="P14" s="85">
        <f>SUM(D14:O14)</f>
        <v>316260</v>
      </c>
      <c r="Q14" s="85">
        <f>P14-C14</f>
        <v>0</v>
      </c>
      <c r="R14" s="77"/>
      <c r="S14" s="77"/>
      <c r="T14" s="77"/>
      <c r="U14" s="77"/>
    </row>
    <row r="15" spans="1:19" ht="14.25" customHeight="1">
      <c r="A15" s="104" t="s">
        <v>497</v>
      </c>
      <c r="B15" s="109">
        <f>'[2]สรุปรายจ่ายตามงบประมาณ '!D420</f>
        <v>4820000</v>
      </c>
      <c r="C15" s="110">
        <f>SUM(D15:O15)</f>
        <v>4386700</v>
      </c>
      <c r="D15" s="109">
        <f>'[2]งบแสดงจากเงินรายรับและสะสม'!D15</f>
        <v>0</v>
      </c>
      <c r="E15" s="109">
        <f>'[2]งบแสดงจากเงินรายรับและสะสม'!E15</f>
        <v>0</v>
      </c>
      <c r="F15" s="109">
        <f>'[2]งบแสดงจากเงินรายรับและสะสม'!F15</f>
        <v>0</v>
      </c>
      <c r="G15" s="109">
        <f>'[2]งบแสดงจากเงินรายรับและสะสม'!G15</f>
        <v>0</v>
      </c>
      <c r="H15" s="109">
        <f>'[2]งบแสดงจากเงินรายรับและสะสม'!H15</f>
        <v>0</v>
      </c>
      <c r="I15" s="109">
        <f>'[2]งบแสดงจากเงินรายรับและสะสม'!I15</f>
        <v>4386700</v>
      </c>
      <c r="J15" s="109">
        <v>0</v>
      </c>
      <c r="K15" s="109">
        <f>'[2]งบแสดงจากเงินรายรับและสะสม'!K15</f>
        <v>0</v>
      </c>
      <c r="L15" s="109">
        <f>'[2]งบแสดงจากเงินรายรับและสะสม'!L15</f>
        <v>0</v>
      </c>
      <c r="M15" s="109">
        <v>0</v>
      </c>
      <c r="N15" s="109">
        <v>0</v>
      </c>
      <c r="O15" s="110">
        <v>0</v>
      </c>
      <c r="P15" s="85">
        <f>SUM(D15:O15)</f>
        <v>4386700</v>
      </c>
      <c r="Q15" s="85">
        <f>P15-C15</f>
        <v>0</v>
      </c>
      <c r="R15" s="77"/>
      <c r="S15" s="77"/>
    </row>
    <row r="16" spans="1:21" ht="14.25" customHeight="1">
      <c r="A16" s="104" t="s">
        <v>498</v>
      </c>
      <c r="B16" s="109">
        <f>'[2]สรุปรายจ่ายตามงบประมาณ '!D321</f>
        <v>35000</v>
      </c>
      <c r="C16" s="110">
        <f>SUM(D16:O16)</f>
        <v>27000</v>
      </c>
      <c r="D16" s="109">
        <f>'[2]งบแสดงจากเงินรายรับและสะสม'!D16</f>
        <v>27000</v>
      </c>
      <c r="E16" s="109">
        <f>'[2]งบแสดงจากเงินรายรับและสะสม'!E16</f>
        <v>0</v>
      </c>
      <c r="F16" s="109">
        <f>'[2]งบแสดงจากเงินรายรับและสะสม'!F16</f>
        <v>0</v>
      </c>
      <c r="G16" s="109">
        <f>'[2]งบแสดงจากเงินรายรับและสะสม'!G16</f>
        <v>0</v>
      </c>
      <c r="H16" s="109">
        <f>'[2]งบแสดงจากเงินรายรับและสะสม'!H16</f>
        <v>0</v>
      </c>
      <c r="I16" s="109">
        <f>'[2]งบแสดงจากเงินรายรับและสะสม'!I16</f>
        <v>0</v>
      </c>
      <c r="J16" s="109">
        <v>0</v>
      </c>
      <c r="K16" s="109">
        <f>'[2]งบแสดงจากเงินรายรับและสะสม'!K16</f>
        <v>0</v>
      </c>
      <c r="L16" s="109">
        <f>'[2]งบแสดงจากเงินรายรับและสะสม'!L16</f>
        <v>0</v>
      </c>
      <c r="M16" s="109">
        <v>0</v>
      </c>
      <c r="N16" s="109">
        <v>0</v>
      </c>
      <c r="O16" s="110">
        <v>0</v>
      </c>
      <c r="P16" s="85">
        <f>SUM(D16:O16)</f>
        <v>27000</v>
      </c>
      <c r="Q16" s="85">
        <f>P16-C16</f>
        <v>0</v>
      </c>
      <c r="R16" s="77"/>
      <c r="S16" s="77"/>
      <c r="T16" s="77"/>
      <c r="U16" s="77"/>
    </row>
    <row r="17" spans="1:21" ht="14.25" customHeight="1">
      <c r="A17" s="104" t="s">
        <v>490</v>
      </c>
      <c r="B17" s="109">
        <f>'[2]สรุปรายจ่ายตามงบประมาณ '!D345</f>
        <v>2007000</v>
      </c>
      <c r="C17" s="110">
        <f>SUM(D17:O17)</f>
        <v>1836000</v>
      </c>
      <c r="D17" s="109">
        <f>'[2]งบแสดงจากเงินรายรับและสะสม'!D17</f>
        <v>0</v>
      </c>
      <c r="E17" s="109">
        <f>'[2]งบแสดงจากเงินรายรับและสะสม'!E17</f>
        <v>1496000</v>
      </c>
      <c r="F17" s="109">
        <f>'[2]งบแสดงจากเงินรายรับและสะสม'!F17</f>
        <v>340000</v>
      </c>
      <c r="G17" s="109">
        <f>'[2]งบแสดงจากเงินรายรับและสะสม'!G17</f>
        <v>0</v>
      </c>
      <c r="H17" s="109">
        <f>'[2]งบแสดงจากเงินรายรับและสะสม'!H17</f>
        <v>0</v>
      </c>
      <c r="I17" s="109">
        <f>'[2]งบแสดงจากเงินรายรับและสะสม'!I17</f>
        <v>0</v>
      </c>
      <c r="J17" s="109">
        <v>0</v>
      </c>
      <c r="K17" s="109">
        <f>'[2]งบแสดงจากเงินรายรับและสะสม'!K17</f>
        <v>0</v>
      </c>
      <c r="L17" s="109">
        <f>'[2]งบแสดงจากเงินรายรับและสะสม'!L17</f>
        <v>0</v>
      </c>
      <c r="M17" s="109">
        <v>0</v>
      </c>
      <c r="N17" s="109">
        <v>0</v>
      </c>
      <c r="O17" s="110">
        <v>0</v>
      </c>
      <c r="P17" s="85">
        <f t="shared" si="2"/>
        <v>1836000</v>
      </c>
      <c r="Q17" s="85">
        <f t="shared" si="1"/>
        <v>0</v>
      </c>
      <c r="R17" s="77"/>
      <c r="S17" s="77"/>
      <c r="T17" s="77"/>
      <c r="U17" s="77"/>
    </row>
    <row r="18" spans="1:19" ht="14.25" customHeight="1">
      <c r="A18" s="452" t="s">
        <v>60</v>
      </c>
      <c r="B18" s="112">
        <f>SUM(B7:B17)</f>
        <v>46535000</v>
      </c>
      <c r="C18" s="453">
        <f>SUM(C7:C17)</f>
        <v>37900015.769999996</v>
      </c>
      <c r="D18" s="112">
        <f aca="true" t="shared" si="3" ref="D18:N18">SUM(D8:D17)</f>
        <v>9481158.47</v>
      </c>
      <c r="E18" s="112">
        <f t="shared" si="3"/>
        <v>5581596.65</v>
      </c>
      <c r="F18" s="112">
        <f t="shared" si="3"/>
        <v>761602</v>
      </c>
      <c r="G18" s="112">
        <f t="shared" si="3"/>
        <v>141490</v>
      </c>
      <c r="H18" s="112">
        <f t="shared" si="3"/>
        <v>1001772</v>
      </c>
      <c r="I18" s="112">
        <f t="shared" si="3"/>
        <v>6265057.65</v>
      </c>
      <c r="J18" s="112">
        <f t="shared" si="3"/>
        <v>0</v>
      </c>
      <c r="K18" s="112">
        <f t="shared" si="3"/>
        <v>43340</v>
      </c>
      <c r="L18" s="112">
        <f t="shared" si="3"/>
        <v>44206</v>
      </c>
      <c r="M18" s="112">
        <f t="shared" si="3"/>
        <v>178304</v>
      </c>
      <c r="N18" s="112">
        <f t="shared" si="3"/>
        <v>0</v>
      </c>
      <c r="O18" s="112">
        <f>SUM(O7:O17)</f>
        <v>14401489</v>
      </c>
      <c r="P18" s="11">
        <f>SUM(P8:P17)</f>
        <v>23498526.77</v>
      </c>
      <c r="Q18" s="85">
        <f>O18+N18+M18+L18+K18+I18+H18+G18+F18+E18+D18</f>
        <v>37900015.769999996</v>
      </c>
      <c r="R18" s="77"/>
      <c r="S18" s="77"/>
    </row>
    <row r="19" spans="1:19" ht="14.25" customHeight="1">
      <c r="A19" s="456" t="s">
        <v>119</v>
      </c>
      <c r="B19" s="457"/>
      <c r="C19" s="457"/>
      <c r="D19" s="114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Q19" s="77">
        <v>0</v>
      </c>
      <c r="R19" s="77"/>
      <c r="S19" s="77"/>
    </row>
    <row r="20" spans="1:19" ht="14.25" customHeight="1">
      <c r="A20" s="104" t="s">
        <v>120</v>
      </c>
      <c r="B20" s="109">
        <f>'[2]งบรับ-จ่ายรวมเงินอุดหนุน'!B12</f>
        <v>304000</v>
      </c>
      <c r="C20" s="110">
        <f>'[2]งบแสดงจากเงินรายรับและสะสม'!C20</f>
        <v>300746.76</v>
      </c>
      <c r="D20" s="111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/>
      <c r="K20" s="109">
        <v>0</v>
      </c>
      <c r="L20" s="109">
        <v>0</v>
      </c>
      <c r="M20" s="109">
        <v>0</v>
      </c>
      <c r="N20" s="109"/>
      <c r="O20" s="109">
        <v>0</v>
      </c>
      <c r="Q20" s="85" t="e">
        <f>+Q19-#REF!</f>
        <v>#REF!</v>
      </c>
      <c r="R20" s="77"/>
      <c r="S20" s="77"/>
    </row>
    <row r="21" spans="1:15" ht="14.25" customHeight="1">
      <c r="A21" s="104" t="s">
        <v>121</v>
      </c>
      <c r="B21" s="109">
        <f>'[2]งบรับ-จ่ายรวมเงินอุดหนุน'!B39</f>
        <v>184100</v>
      </c>
      <c r="C21" s="110">
        <f>'[2]งบแสดงจากเงินรายรับและสะสม'!C21</f>
        <v>202158</v>
      </c>
      <c r="D21" s="111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/>
      <c r="K21" s="109">
        <v>0</v>
      </c>
      <c r="L21" s="109">
        <v>0</v>
      </c>
      <c r="M21" s="109">
        <v>0</v>
      </c>
      <c r="N21" s="109"/>
      <c r="O21" s="109">
        <v>0</v>
      </c>
    </row>
    <row r="22" spans="1:18" ht="14.25" customHeight="1">
      <c r="A22" s="104" t="s">
        <v>122</v>
      </c>
      <c r="B22" s="109">
        <f>'[2]งบรับ-จ่ายรวมเงินอุดหนุน'!B42</f>
        <v>131000</v>
      </c>
      <c r="C22" s="110">
        <f>'[2]งบแสดงจากเงินรายรับและสะสม'!C22</f>
        <v>187567.88</v>
      </c>
      <c r="D22" s="111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/>
      <c r="K22" s="109">
        <v>0</v>
      </c>
      <c r="L22" s="109">
        <v>0</v>
      </c>
      <c r="M22" s="109">
        <v>0</v>
      </c>
      <c r="N22" s="109"/>
      <c r="O22" s="109">
        <v>0</v>
      </c>
      <c r="R22" s="80"/>
    </row>
    <row r="23" spans="1:15" ht="14.25" customHeight="1">
      <c r="A23" s="104" t="s">
        <v>123</v>
      </c>
      <c r="B23" s="109">
        <f>'[2]งบรับ-จ่ายรวมเงินอุดหนุน'!B51</f>
        <v>136400</v>
      </c>
      <c r="C23" s="110">
        <f>'[2]งบแสดงจากเงินรายรับและสะสม'!C23</f>
        <v>4323</v>
      </c>
      <c r="D23" s="111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/>
      <c r="K23" s="109">
        <v>0</v>
      </c>
      <c r="L23" s="109">
        <v>0</v>
      </c>
      <c r="M23" s="109">
        <v>0</v>
      </c>
      <c r="N23" s="109"/>
      <c r="O23" s="109">
        <v>0</v>
      </c>
    </row>
    <row r="24" spans="1:15" ht="14.25" customHeight="1">
      <c r="A24" s="104" t="s">
        <v>487</v>
      </c>
      <c r="B24" s="109">
        <f>'[2]งบรับ-จ่ายรวมเงินอุดหนุน'!B54</f>
        <v>500</v>
      </c>
      <c r="C24" s="110">
        <f>'[2]งบแสดงจากเงินรายรับและสะสม'!C24</f>
        <v>0</v>
      </c>
      <c r="D24" s="111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/>
      <c r="K24" s="109">
        <v>0</v>
      </c>
      <c r="L24" s="109">
        <v>0</v>
      </c>
      <c r="M24" s="109">
        <v>0</v>
      </c>
      <c r="N24" s="109"/>
      <c r="O24" s="109">
        <v>0</v>
      </c>
    </row>
    <row r="25" spans="1:15" ht="14.25" customHeight="1">
      <c r="A25" s="104" t="s">
        <v>124</v>
      </c>
      <c r="B25" s="109">
        <f>'[2]งบรับ-จ่ายรวมเงินอุดหนุน'!B23</f>
        <v>18564000</v>
      </c>
      <c r="C25" s="110">
        <f>'[2]งบแสดงจากเงินรายรับและสะสม'!C25</f>
        <v>19936365.63</v>
      </c>
      <c r="D25" s="111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/>
      <c r="K25" s="109">
        <v>0</v>
      </c>
      <c r="L25" s="109">
        <v>0</v>
      </c>
      <c r="M25" s="109">
        <v>0</v>
      </c>
      <c r="N25" s="109"/>
      <c r="O25" s="109">
        <v>0</v>
      </c>
    </row>
    <row r="26" spans="1:15" ht="14.25" customHeight="1">
      <c r="A26" s="104" t="s">
        <v>125</v>
      </c>
      <c r="B26" s="109">
        <f>'[2]งบรับ-จ่ายรวมเงินอุดหนุน'!B60</f>
        <v>27215000</v>
      </c>
      <c r="C26" s="110">
        <f>'[2]งบแสดงจากเงินรายรับและสะสม'!C26</f>
        <v>22350376</v>
      </c>
      <c r="D26" s="111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/>
      <c r="K26" s="109">
        <v>0</v>
      </c>
      <c r="L26" s="109">
        <v>0</v>
      </c>
      <c r="M26" s="109">
        <v>0</v>
      </c>
      <c r="N26" s="109"/>
      <c r="O26" s="109">
        <v>0</v>
      </c>
    </row>
    <row r="27" spans="1:15" ht="14.25" customHeight="1">
      <c r="A27" s="104" t="s">
        <v>142</v>
      </c>
      <c r="B27" s="109">
        <v>0</v>
      </c>
      <c r="C27" s="110">
        <f>'[2]งบแสดงจากเงินรายรับและสะสม'!C27</f>
        <v>0</v>
      </c>
      <c r="D27" s="111">
        <v>0</v>
      </c>
      <c r="E27" s="109">
        <v>0</v>
      </c>
      <c r="F27" s="109">
        <v>0</v>
      </c>
      <c r="G27" s="109">
        <v>0</v>
      </c>
      <c r="H27" s="109"/>
      <c r="I27" s="109">
        <v>0</v>
      </c>
      <c r="J27" s="109"/>
      <c r="K27" s="109">
        <v>0</v>
      </c>
      <c r="L27" s="109">
        <v>0</v>
      </c>
      <c r="M27" s="109">
        <v>0</v>
      </c>
      <c r="N27" s="109"/>
      <c r="O27" s="109">
        <v>0</v>
      </c>
    </row>
    <row r="28" spans="1:15" ht="14.25" customHeight="1">
      <c r="A28" s="459" t="s">
        <v>60</v>
      </c>
      <c r="B28" s="460">
        <f aca="true" t="shared" si="4" ref="B28:I28">SUM(B20:B27)</f>
        <v>46535000</v>
      </c>
      <c r="C28" s="454">
        <f t="shared" si="4"/>
        <v>42981537.269999996</v>
      </c>
      <c r="D28" s="454">
        <f t="shared" si="4"/>
        <v>0</v>
      </c>
      <c r="E28" s="454">
        <f t="shared" si="4"/>
        <v>0</v>
      </c>
      <c r="F28" s="454">
        <f t="shared" si="4"/>
        <v>0</v>
      </c>
      <c r="G28" s="454">
        <f t="shared" si="4"/>
        <v>0</v>
      </c>
      <c r="H28" s="454">
        <f t="shared" si="4"/>
        <v>0</v>
      </c>
      <c r="I28" s="454">
        <f t="shared" si="4"/>
        <v>0</v>
      </c>
      <c r="J28" s="454"/>
      <c r="K28" s="454">
        <f>SUM(K20:K27)</f>
        <v>0</v>
      </c>
      <c r="L28" s="454">
        <f>SUM(L20:L27)</f>
        <v>0</v>
      </c>
      <c r="M28" s="454">
        <f>SUM(M20:M27)</f>
        <v>0</v>
      </c>
      <c r="N28" s="454"/>
      <c r="O28" s="454">
        <f>SUM(O20:O27)</f>
        <v>0</v>
      </c>
    </row>
    <row r="29" spans="1:15" ht="14.25" customHeight="1" thickBot="1">
      <c r="A29" s="710" t="s">
        <v>126</v>
      </c>
      <c r="B29" s="711"/>
      <c r="C29" s="86">
        <f>C28-C18</f>
        <v>5081521.5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80"/>
    </row>
    <row r="30" spans="1:15" ht="14.25" customHeight="1" thickTop="1">
      <c r="A30" s="79"/>
      <c r="B30" s="182"/>
      <c r="C30" s="8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80"/>
    </row>
    <row r="31" spans="1:15" s="102" customFormat="1" ht="14.25" customHeight="1">
      <c r="A31" s="705" t="s">
        <v>685</v>
      </c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705"/>
      <c r="M31" s="705"/>
      <c r="N31" s="705"/>
      <c r="O31" s="705"/>
    </row>
    <row r="33" spans="1:3" ht="18">
      <c r="A33" s="80"/>
      <c r="C33" s="80"/>
    </row>
    <row r="34" spans="1:3" ht="18">
      <c r="A34" s="80"/>
      <c r="C34" s="80"/>
    </row>
    <row r="35" spans="1:3" ht="18">
      <c r="A35" s="80"/>
      <c r="C35" s="80"/>
    </row>
    <row r="36" spans="1:3" ht="18">
      <c r="A36" s="80"/>
      <c r="C36" s="80"/>
    </row>
    <row r="37" spans="1:3" ht="18">
      <c r="A37" s="80"/>
      <c r="C37" s="80"/>
    </row>
    <row r="38" spans="1:3" ht="18">
      <c r="A38" s="80"/>
      <c r="C38" s="80"/>
    </row>
    <row r="39" ht="18">
      <c r="C39" s="80"/>
    </row>
    <row r="40" spans="3:6" ht="18.75">
      <c r="C40" s="85"/>
      <c r="E40" s="81"/>
      <c r="F40" s="82"/>
    </row>
    <row r="41" spans="3:5" ht="18">
      <c r="C41" s="80"/>
      <c r="E41" s="83"/>
    </row>
    <row r="42" spans="1:3" ht="18">
      <c r="A42" s="80"/>
      <c r="C42" s="80"/>
    </row>
    <row r="43" spans="2:3" ht="18">
      <c r="B43" s="114"/>
      <c r="C43" s="85"/>
    </row>
  </sheetData>
  <sheetProtection/>
  <mergeCells count="20"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A29:B29"/>
    <mergeCell ref="A31:O31"/>
    <mergeCell ref="H4:H5"/>
    <mergeCell ref="I4:I5"/>
    <mergeCell ref="J4:J5"/>
    <mergeCell ref="K4:K5"/>
    <mergeCell ref="L4:L5"/>
    <mergeCell ref="M4:M5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2"/>
  <sheetViews>
    <sheetView zoomScale="140" zoomScaleNormal="140" zoomScalePageLayoutView="0" workbookViewId="0" topLeftCell="A1">
      <selection activeCell="B4" sqref="B4:B5"/>
    </sheetView>
  </sheetViews>
  <sheetFormatPr defaultColWidth="9.140625" defaultRowHeight="15"/>
  <cols>
    <col min="1" max="1" width="9.421875" style="68" customWidth="1"/>
    <col min="2" max="2" width="14.8515625" style="10" customWidth="1"/>
    <col min="3" max="3" width="8.57421875" style="10" customWidth="1"/>
    <col min="4" max="4" width="7.8515625" style="10" customWidth="1"/>
    <col min="5" max="5" width="8.140625" style="10" customWidth="1"/>
    <col min="6" max="6" width="7.57421875" style="10" customWidth="1"/>
    <col min="7" max="7" width="6.8515625" style="10" customWidth="1"/>
    <col min="8" max="8" width="7.8515625" style="10" customWidth="1"/>
    <col min="9" max="9" width="9.421875" style="10" customWidth="1"/>
    <col min="10" max="10" width="8.421875" style="10" customWidth="1"/>
    <col min="11" max="11" width="9.00390625" style="10" customWidth="1"/>
    <col min="12" max="12" width="7.28125" style="10" customWidth="1"/>
    <col min="13" max="14" width="8.421875" style="10" customWidth="1"/>
    <col min="15" max="15" width="9.8515625" style="10" customWidth="1"/>
    <col min="16" max="16" width="12.140625" style="10" bestFit="1" customWidth="1"/>
    <col min="17" max="17" width="9.00390625" style="10" customWidth="1"/>
    <col min="18" max="18" width="11.8515625" style="10" bestFit="1" customWidth="1"/>
    <col min="19" max="16384" width="9.00390625" style="10" customWidth="1"/>
  </cols>
  <sheetData>
    <row r="1" spans="1:15" s="102" customFormat="1" ht="14.25" customHeight="1">
      <c r="A1" s="101"/>
      <c r="B1" s="706" t="s">
        <v>360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</row>
    <row r="2" spans="1:15" s="102" customFormat="1" ht="14.25" customHeight="1">
      <c r="A2" s="101"/>
      <c r="B2" s="706" t="s">
        <v>140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1:15" s="102" customFormat="1" ht="14.25" customHeight="1">
      <c r="A3" s="101"/>
      <c r="B3" s="706" t="s">
        <v>1103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</row>
    <row r="4" spans="1:15" ht="14.25" customHeight="1">
      <c r="A4" s="716" t="s">
        <v>134</v>
      </c>
      <c r="B4" s="707" t="s">
        <v>77</v>
      </c>
      <c r="C4" s="707" t="s">
        <v>81</v>
      </c>
      <c r="D4" s="707" t="s">
        <v>88</v>
      </c>
      <c r="E4" s="707" t="s">
        <v>84</v>
      </c>
      <c r="F4" s="707" t="s">
        <v>107</v>
      </c>
      <c r="G4" s="707" t="s">
        <v>108</v>
      </c>
      <c r="H4" s="707" t="s">
        <v>83</v>
      </c>
      <c r="I4" s="707" t="s">
        <v>484</v>
      </c>
      <c r="J4" s="712" t="s">
        <v>109</v>
      </c>
      <c r="K4" s="714" t="s">
        <v>110</v>
      </c>
      <c r="L4" s="707" t="s">
        <v>111</v>
      </c>
      <c r="M4" s="707" t="s">
        <v>112</v>
      </c>
      <c r="N4" s="707" t="s">
        <v>113</v>
      </c>
      <c r="O4" s="707" t="s">
        <v>60</v>
      </c>
    </row>
    <row r="5" spans="1:15" ht="14.25" customHeight="1">
      <c r="A5" s="717"/>
      <c r="B5" s="702"/>
      <c r="C5" s="702"/>
      <c r="D5" s="702"/>
      <c r="E5" s="702"/>
      <c r="F5" s="702"/>
      <c r="G5" s="702"/>
      <c r="H5" s="702"/>
      <c r="I5" s="702"/>
      <c r="J5" s="713"/>
      <c r="K5" s="715"/>
      <c r="L5" s="702"/>
      <c r="M5" s="702"/>
      <c r="N5" s="702"/>
      <c r="O5" s="702"/>
    </row>
    <row r="6" spans="1:19" ht="14.25" customHeight="1">
      <c r="A6" s="69" t="s">
        <v>114</v>
      </c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1"/>
      <c r="O6" s="71"/>
      <c r="P6" s="72"/>
      <c r="Q6" s="72"/>
      <c r="R6" s="73"/>
      <c r="S6" s="73"/>
    </row>
    <row r="7" spans="1:19" ht="14.25" customHeight="1">
      <c r="A7" s="74" t="s">
        <v>113</v>
      </c>
      <c r="B7" s="70" t="s">
        <v>131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6">
        <v>0</v>
      </c>
      <c r="N7" s="76">
        <v>0</v>
      </c>
      <c r="O7" s="76">
        <f>SUM(C7:N7)</f>
        <v>0</v>
      </c>
      <c r="P7" s="77"/>
      <c r="Q7" s="77"/>
      <c r="R7" s="77"/>
      <c r="S7" s="77"/>
    </row>
    <row r="8" spans="1:19" ht="14.25" customHeight="1">
      <c r="A8" s="74" t="s">
        <v>135</v>
      </c>
      <c r="B8" s="70" t="s">
        <v>115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6">
        <v>0</v>
      </c>
      <c r="N8" s="76">
        <v>0</v>
      </c>
      <c r="O8" s="76">
        <f>SUM(C8:N8)</f>
        <v>0</v>
      </c>
      <c r="P8" s="77"/>
      <c r="Q8" s="77"/>
      <c r="R8" s="77"/>
      <c r="S8" s="77"/>
    </row>
    <row r="9" spans="1:19" ht="14.25" customHeight="1">
      <c r="A9" s="74"/>
      <c r="B9" s="70" t="s">
        <v>127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6">
        <v>0</v>
      </c>
      <c r="N9" s="76">
        <v>0</v>
      </c>
      <c r="O9" s="76">
        <f>SUM(C9:N9)</f>
        <v>0</v>
      </c>
      <c r="P9" s="77"/>
      <c r="Q9" s="77"/>
      <c r="R9" s="77"/>
      <c r="S9" s="77"/>
    </row>
    <row r="10" spans="1:19" ht="14.25" customHeight="1">
      <c r="A10" s="74" t="s">
        <v>136</v>
      </c>
      <c r="B10" s="70" t="s">
        <v>128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6">
        <v>0</v>
      </c>
      <c r="N10" s="76">
        <v>0</v>
      </c>
      <c r="O10" s="76">
        <f aca="true" t="shared" si="0" ref="O10:O17">SUM(C10:N10)</f>
        <v>0</v>
      </c>
      <c r="P10" s="77"/>
      <c r="Q10" s="77"/>
      <c r="R10" s="77"/>
      <c r="S10" s="77"/>
    </row>
    <row r="11" spans="1:19" ht="14.25" customHeight="1">
      <c r="A11" s="74"/>
      <c r="B11" s="70" t="s">
        <v>129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6">
        <v>0</v>
      </c>
      <c r="N11" s="76">
        <v>0</v>
      </c>
      <c r="O11" s="76">
        <f t="shared" si="0"/>
        <v>0</v>
      </c>
      <c r="P11" s="77"/>
      <c r="Q11" s="77"/>
      <c r="R11" s="77"/>
      <c r="S11" s="77"/>
    </row>
    <row r="12" spans="1:19" ht="14.25" customHeight="1">
      <c r="A12" s="74"/>
      <c r="B12" s="70" t="s">
        <v>130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6">
        <v>0</v>
      </c>
      <c r="N12" s="76">
        <v>0</v>
      </c>
      <c r="O12" s="76">
        <f t="shared" si="0"/>
        <v>0</v>
      </c>
      <c r="P12" s="77"/>
      <c r="Q12" s="77"/>
      <c r="R12" s="77"/>
      <c r="S12" s="77"/>
    </row>
    <row r="13" spans="1:19" ht="14.25" customHeight="1">
      <c r="A13" s="74"/>
      <c r="B13" s="70" t="s">
        <v>116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6">
        <v>0</v>
      </c>
      <c r="N13" s="76">
        <v>0</v>
      </c>
      <c r="O13" s="76">
        <f t="shared" si="0"/>
        <v>0</v>
      </c>
      <c r="P13" s="77"/>
      <c r="Q13" s="77"/>
      <c r="R13" s="77"/>
      <c r="S13" s="77"/>
    </row>
    <row r="14" spans="1:19" ht="14.25" customHeight="1">
      <c r="A14" s="74" t="s">
        <v>137</v>
      </c>
      <c r="B14" s="70" t="s">
        <v>132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6">
        <v>0</v>
      </c>
      <c r="O14" s="76">
        <f t="shared" si="0"/>
        <v>0</v>
      </c>
      <c r="P14" s="77"/>
      <c r="Q14" s="77"/>
      <c r="R14" s="77"/>
      <c r="S14" s="77"/>
    </row>
    <row r="15" spans="1:17" ht="14.25" customHeight="1">
      <c r="A15" s="74"/>
      <c r="B15" s="70" t="s">
        <v>133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4373800</v>
      </c>
      <c r="J15" s="75">
        <v>0</v>
      </c>
      <c r="K15" s="75">
        <v>0</v>
      </c>
      <c r="L15" s="75">
        <v>0</v>
      </c>
      <c r="M15" s="76">
        <v>0</v>
      </c>
      <c r="N15" s="76">
        <v>0</v>
      </c>
      <c r="O15" s="76">
        <f t="shared" si="0"/>
        <v>4373800</v>
      </c>
      <c r="P15" s="77"/>
      <c r="Q15" s="77"/>
    </row>
    <row r="16" spans="1:19" ht="14.25" customHeight="1">
      <c r="A16" s="74" t="s">
        <v>138</v>
      </c>
      <c r="B16" s="70" t="s">
        <v>118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6">
        <v>0</v>
      </c>
      <c r="O16" s="76">
        <f t="shared" si="0"/>
        <v>0</v>
      </c>
      <c r="P16" s="77"/>
      <c r="Q16" s="77"/>
      <c r="R16" s="77"/>
      <c r="S16" s="77"/>
    </row>
    <row r="17" spans="1:19" ht="14.25" customHeight="1">
      <c r="A17" s="74" t="s">
        <v>139</v>
      </c>
      <c r="B17" s="70" t="s">
        <v>117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6">
        <v>0</v>
      </c>
      <c r="O17" s="76">
        <f t="shared" si="0"/>
        <v>0</v>
      </c>
      <c r="P17" s="77"/>
      <c r="Q17" s="77"/>
      <c r="R17" s="77"/>
      <c r="S17" s="77"/>
    </row>
    <row r="18" spans="1:17" ht="14.25" customHeight="1">
      <c r="A18" s="74"/>
      <c r="B18" s="70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  <c r="O18" s="76"/>
      <c r="P18" s="77"/>
      <c r="Q18" s="77"/>
    </row>
    <row r="19" spans="1:17" ht="14.25" customHeight="1">
      <c r="A19" s="718" t="s">
        <v>60</v>
      </c>
      <c r="B19" s="719"/>
      <c r="C19" s="78">
        <f aca="true" t="shared" si="1" ref="C19:O19">SUM(C8:C17)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78">
        <f t="shared" si="1"/>
        <v>4373800</v>
      </c>
      <c r="J19" s="78">
        <f t="shared" si="1"/>
        <v>0</v>
      </c>
      <c r="K19" s="78">
        <f t="shared" si="1"/>
        <v>0</v>
      </c>
      <c r="L19" s="78">
        <f t="shared" si="1"/>
        <v>0</v>
      </c>
      <c r="M19" s="78">
        <f t="shared" si="1"/>
        <v>0</v>
      </c>
      <c r="N19" s="78">
        <f t="shared" si="1"/>
        <v>0</v>
      </c>
      <c r="O19" s="78">
        <f t="shared" si="1"/>
        <v>4373800</v>
      </c>
      <c r="P19" s="77"/>
      <c r="Q19" s="77"/>
    </row>
    <row r="20" spans="2:15" ht="14.25" customHeight="1">
      <c r="B20" s="79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80"/>
      <c r="O20" s="80"/>
    </row>
    <row r="21" spans="1:15" s="102" customFormat="1" ht="14.25" customHeight="1">
      <c r="A21" s="705" t="s">
        <v>685</v>
      </c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</row>
    <row r="23" ht="18">
      <c r="B23" s="80"/>
    </row>
    <row r="24" ht="18">
      <c r="B24" s="80"/>
    </row>
    <row r="25" ht="18">
      <c r="B25" s="80"/>
    </row>
    <row r="26" ht="18">
      <c r="B26" s="80"/>
    </row>
    <row r="27" ht="18">
      <c r="B27" s="80"/>
    </row>
    <row r="28" ht="18">
      <c r="B28" s="80"/>
    </row>
    <row r="30" spans="4:5" ht="18.75">
      <c r="D30" s="81"/>
      <c r="E30" s="82"/>
    </row>
    <row r="31" ht="18">
      <c r="D31" s="83"/>
    </row>
    <row r="32" ht="18">
      <c r="B32" s="80"/>
    </row>
  </sheetData>
  <sheetProtection/>
  <mergeCells count="20">
    <mergeCell ref="N4:N5"/>
    <mergeCell ref="O4:O5"/>
    <mergeCell ref="A19:B19"/>
    <mergeCell ref="F4:F5"/>
    <mergeCell ref="G4:G5"/>
    <mergeCell ref="H4:H5"/>
    <mergeCell ref="J4:J5"/>
    <mergeCell ref="K4:K5"/>
    <mergeCell ref="L4:L5"/>
    <mergeCell ref="I4:I5"/>
    <mergeCell ref="A21:O21"/>
    <mergeCell ref="B1:O1"/>
    <mergeCell ref="B2:O2"/>
    <mergeCell ref="B3:O3"/>
    <mergeCell ref="A4:A5"/>
    <mergeCell ref="B4:B5"/>
    <mergeCell ref="C4:C5"/>
    <mergeCell ref="D4:D5"/>
    <mergeCell ref="E4:E5"/>
    <mergeCell ref="M4:M5"/>
  </mergeCells>
  <printOptions horizontalCentered="1"/>
  <pageMargins left="0" right="0" top="1.1811023622047245" bottom="0" header="0.31496062992125984" footer="0.31496062992125984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A1">
      <selection activeCell="P24" sqref="P24"/>
    </sheetView>
  </sheetViews>
  <sheetFormatPr defaultColWidth="9.140625" defaultRowHeight="15"/>
  <cols>
    <col min="1" max="1" width="9.7109375" style="68" customWidth="1"/>
    <col min="2" max="2" width="13.8515625" style="10" customWidth="1"/>
    <col min="3" max="3" width="8.57421875" style="10" customWidth="1"/>
    <col min="4" max="4" width="7.8515625" style="10" customWidth="1"/>
    <col min="5" max="5" width="8.140625" style="10" customWidth="1"/>
    <col min="6" max="6" width="7.57421875" style="10" customWidth="1"/>
    <col min="7" max="7" width="6.8515625" style="10" customWidth="1"/>
    <col min="8" max="8" width="7.8515625" style="10" customWidth="1"/>
    <col min="9" max="9" width="10.00390625" style="10" customWidth="1"/>
    <col min="10" max="10" width="8.421875" style="10" customWidth="1"/>
    <col min="11" max="11" width="9.00390625" style="10" customWidth="1"/>
    <col min="12" max="12" width="7.28125" style="10" customWidth="1"/>
    <col min="13" max="14" width="8.421875" style="10" customWidth="1"/>
    <col min="15" max="15" width="11.421875" style="10" customWidth="1"/>
    <col min="16" max="16" width="12.140625" style="10" bestFit="1" customWidth="1"/>
    <col min="17" max="17" width="9.00390625" style="10" customWidth="1"/>
    <col min="18" max="18" width="11.8515625" style="10" bestFit="1" customWidth="1"/>
    <col min="19" max="16384" width="9.00390625" style="10" customWidth="1"/>
  </cols>
  <sheetData>
    <row r="1" spans="1:15" s="102" customFormat="1" ht="14.25" customHeight="1">
      <c r="A1" s="101"/>
      <c r="B1" s="706" t="s">
        <v>360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</row>
    <row r="2" spans="1:15" s="102" customFormat="1" ht="14.25" customHeight="1">
      <c r="A2" s="101"/>
      <c r="B2" s="706" t="s">
        <v>501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1:15" s="102" customFormat="1" ht="14.25" customHeight="1">
      <c r="A3" s="101"/>
      <c r="B3" s="706" t="s">
        <v>1103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</row>
    <row r="4" spans="1:15" ht="14.25" customHeight="1">
      <c r="A4" s="716" t="s">
        <v>134</v>
      </c>
      <c r="B4" s="707" t="s">
        <v>77</v>
      </c>
      <c r="C4" s="707" t="s">
        <v>81</v>
      </c>
      <c r="D4" s="707" t="s">
        <v>88</v>
      </c>
      <c r="E4" s="707" t="s">
        <v>84</v>
      </c>
      <c r="F4" s="707" t="s">
        <v>107</v>
      </c>
      <c r="G4" s="707" t="s">
        <v>108</v>
      </c>
      <c r="H4" s="707" t="s">
        <v>83</v>
      </c>
      <c r="I4" s="707" t="s">
        <v>502</v>
      </c>
      <c r="J4" s="712" t="s">
        <v>109</v>
      </c>
      <c r="K4" s="714" t="s">
        <v>110</v>
      </c>
      <c r="L4" s="707" t="s">
        <v>111</v>
      </c>
      <c r="M4" s="707" t="s">
        <v>112</v>
      </c>
      <c r="N4" s="707" t="s">
        <v>113</v>
      </c>
      <c r="O4" s="707" t="s">
        <v>60</v>
      </c>
    </row>
    <row r="5" spans="1:15" ht="14.25" customHeight="1">
      <c r="A5" s="717"/>
      <c r="B5" s="702"/>
      <c r="C5" s="702"/>
      <c r="D5" s="702"/>
      <c r="E5" s="702"/>
      <c r="F5" s="702"/>
      <c r="G5" s="702"/>
      <c r="H5" s="702"/>
      <c r="I5" s="702"/>
      <c r="J5" s="713"/>
      <c r="K5" s="715"/>
      <c r="L5" s="702"/>
      <c r="M5" s="702"/>
      <c r="N5" s="702"/>
      <c r="O5" s="702"/>
    </row>
    <row r="6" spans="1:19" ht="14.25" customHeight="1">
      <c r="A6" s="69" t="s">
        <v>114</v>
      </c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1"/>
      <c r="O6" s="71"/>
      <c r="P6" s="72"/>
      <c r="Q6" s="72"/>
      <c r="R6" s="73"/>
      <c r="S6" s="73"/>
    </row>
    <row r="7" spans="1:19" ht="14.25" customHeight="1">
      <c r="A7" s="74" t="s">
        <v>113</v>
      </c>
      <c r="B7" s="70" t="s">
        <v>131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6">
        <v>0</v>
      </c>
      <c r="N7" s="76">
        <v>0</v>
      </c>
      <c r="O7" s="76">
        <f>SUM(C7:N7)</f>
        <v>0</v>
      </c>
      <c r="P7" s="77"/>
      <c r="Q7" s="77"/>
      <c r="R7" s="77"/>
      <c r="S7" s="77"/>
    </row>
    <row r="8" spans="1:19" ht="14.25" customHeight="1">
      <c r="A8" s="74" t="s">
        <v>135</v>
      </c>
      <c r="B8" s="70" t="s">
        <v>115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6">
        <v>0</v>
      </c>
      <c r="N8" s="76">
        <v>0</v>
      </c>
      <c r="O8" s="76">
        <f>SUM(C8:N8)</f>
        <v>0</v>
      </c>
      <c r="P8" s="77"/>
      <c r="Q8" s="77"/>
      <c r="R8" s="77"/>
      <c r="S8" s="77"/>
    </row>
    <row r="9" spans="1:19" ht="14.25" customHeight="1">
      <c r="A9" s="74"/>
      <c r="B9" s="70" t="s">
        <v>127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6">
        <v>0</v>
      </c>
      <c r="N9" s="76">
        <v>0</v>
      </c>
      <c r="O9" s="76">
        <f>SUM(C9:N9)</f>
        <v>0</v>
      </c>
      <c r="P9" s="77"/>
      <c r="Q9" s="77"/>
      <c r="R9" s="77"/>
      <c r="S9" s="77"/>
    </row>
    <row r="10" spans="1:19" ht="14.25" customHeight="1">
      <c r="A10" s="74" t="s">
        <v>136</v>
      </c>
      <c r="B10" s="70" t="s">
        <v>128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6">
        <v>0</v>
      </c>
      <c r="N10" s="76">
        <v>0</v>
      </c>
      <c r="O10" s="76">
        <f aca="true" t="shared" si="0" ref="O10:O17">SUM(C10:N10)</f>
        <v>0</v>
      </c>
      <c r="P10" s="77"/>
      <c r="Q10" s="77"/>
      <c r="R10" s="77"/>
      <c r="S10" s="77"/>
    </row>
    <row r="11" spans="1:19" ht="14.25" customHeight="1">
      <c r="A11" s="74"/>
      <c r="B11" s="70" t="s">
        <v>129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6">
        <v>0</v>
      </c>
      <c r="N11" s="76">
        <v>0</v>
      </c>
      <c r="O11" s="76">
        <f t="shared" si="0"/>
        <v>0</v>
      </c>
      <c r="P11" s="77"/>
      <c r="Q11" s="77"/>
      <c r="R11" s="77"/>
      <c r="S11" s="77"/>
    </row>
    <row r="12" spans="1:19" ht="14.25" customHeight="1">
      <c r="A12" s="74"/>
      <c r="B12" s="70" t="s">
        <v>130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6">
        <v>0</v>
      </c>
      <c r="N12" s="76">
        <v>0</v>
      </c>
      <c r="O12" s="76">
        <f t="shared" si="0"/>
        <v>0</v>
      </c>
      <c r="P12" s="77"/>
      <c r="Q12" s="77"/>
      <c r="R12" s="77"/>
      <c r="S12" s="77"/>
    </row>
    <row r="13" spans="1:19" ht="14.25" customHeight="1">
      <c r="A13" s="74"/>
      <c r="B13" s="70" t="s">
        <v>116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6">
        <v>0</v>
      </c>
      <c r="N13" s="76">
        <v>0</v>
      </c>
      <c r="O13" s="76">
        <f t="shared" si="0"/>
        <v>0</v>
      </c>
      <c r="P13" s="77"/>
      <c r="Q13" s="77"/>
      <c r="R13" s="77"/>
      <c r="S13" s="77"/>
    </row>
    <row r="14" spans="1:19" ht="14.25" customHeight="1">
      <c r="A14" s="74" t="s">
        <v>137</v>
      </c>
      <c r="B14" s="70" t="s">
        <v>132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6">
        <v>0</v>
      </c>
      <c r="N14" s="76">
        <v>0</v>
      </c>
      <c r="O14" s="76">
        <f t="shared" si="0"/>
        <v>0</v>
      </c>
      <c r="P14" s="77"/>
      <c r="Q14" s="77"/>
      <c r="R14" s="77"/>
      <c r="S14" s="77"/>
    </row>
    <row r="15" spans="1:17" ht="14.25" customHeight="1">
      <c r="A15" s="74"/>
      <c r="B15" s="70" t="s">
        <v>133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6">
        <v>0</v>
      </c>
      <c r="N15" s="76">
        <v>0</v>
      </c>
      <c r="O15" s="76">
        <f t="shared" si="0"/>
        <v>0</v>
      </c>
      <c r="P15" s="77"/>
      <c r="Q15" s="77"/>
    </row>
    <row r="16" spans="1:19" ht="14.25" customHeight="1">
      <c r="A16" s="74" t="s">
        <v>138</v>
      </c>
      <c r="B16" s="70" t="s">
        <v>118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6">
        <v>0</v>
      </c>
      <c r="N16" s="76">
        <v>0</v>
      </c>
      <c r="O16" s="76">
        <f t="shared" si="0"/>
        <v>0</v>
      </c>
      <c r="P16" s="77"/>
      <c r="Q16" s="77"/>
      <c r="R16" s="77"/>
      <c r="S16" s="77"/>
    </row>
    <row r="17" spans="1:19" ht="14.25" customHeight="1">
      <c r="A17" s="74" t="s">
        <v>139</v>
      </c>
      <c r="B17" s="70" t="s">
        <v>117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6">
        <v>0</v>
      </c>
      <c r="N17" s="76">
        <v>0</v>
      </c>
      <c r="O17" s="76">
        <f t="shared" si="0"/>
        <v>0</v>
      </c>
      <c r="P17" s="77"/>
      <c r="Q17" s="77"/>
      <c r="R17" s="77"/>
      <c r="S17" s="77"/>
    </row>
    <row r="18" spans="1:17" ht="14.25" customHeight="1">
      <c r="A18" s="74"/>
      <c r="B18" s="70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76"/>
      <c r="O18" s="76"/>
      <c r="P18" s="77"/>
      <c r="Q18" s="77"/>
    </row>
    <row r="19" spans="1:17" ht="14.25" customHeight="1">
      <c r="A19" s="718" t="s">
        <v>60</v>
      </c>
      <c r="B19" s="719"/>
      <c r="C19" s="78">
        <f aca="true" t="shared" si="1" ref="C19:O19">SUM(C8:C17)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78">
        <f t="shared" si="1"/>
        <v>0</v>
      </c>
      <c r="J19" s="78">
        <f t="shared" si="1"/>
        <v>0</v>
      </c>
      <c r="K19" s="78">
        <f t="shared" si="1"/>
        <v>0</v>
      </c>
      <c r="L19" s="78">
        <f t="shared" si="1"/>
        <v>0</v>
      </c>
      <c r="M19" s="78">
        <f t="shared" si="1"/>
        <v>0</v>
      </c>
      <c r="N19" s="78">
        <f t="shared" si="1"/>
        <v>0</v>
      </c>
      <c r="O19" s="78">
        <f t="shared" si="1"/>
        <v>0</v>
      </c>
      <c r="P19" s="77"/>
      <c r="Q19" s="77"/>
    </row>
    <row r="20" spans="2:15" ht="14.25" customHeight="1">
      <c r="B20" s="79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80"/>
      <c r="O20" s="80"/>
    </row>
    <row r="21" spans="1:15" s="102" customFormat="1" ht="14.25" customHeight="1">
      <c r="A21" s="705" t="s">
        <v>685</v>
      </c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</row>
    <row r="23" ht="18">
      <c r="B23" s="80"/>
    </row>
    <row r="24" ht="18">
      <c r="B24" s="80"/>
    </row>
    <row r="25" ht="18">
      <c r="B25" s="80"/>
    </row>
    <row r="26" ht="18">
      <c r="B26" s="80"/>
    </row>
    <row r="27" ht="18">
      <c r="B27" s="80"/>
    </row>
    <row r="28" ht="18">
      <c r="B28" s="80"/>
    </row>
    <row r="30" spans="4:5" ht="18.75">
      <c r="D30" s="81"/>
      <c r="E30" s="82"/>
    </row>
    <row r="31" ht="18">
      <c r="D31" s="83"/>
    </row>
    <row r="32" ht="18">
      <c r="B32" s="80"/>
    </row>
  </sheetData>
  <sheetProtection/>
  <mergeCells count="20">
    <mergeCell ref="G4:G5"/>
    <mergeCell ref="O4:O5"/>
    <mergeCell ref="A19:B19"/>
    <mergeCell ref="I4:I5"/>
    <mergeCell ref="H4:H5"/>
    <mergeCell ref="J4:J5"/>
    <mergeCell ref="K4:K5"/>
    <mergeCell ref="L4:L5"/>
    <mergeCell ref="M4:M5"/>
    <mergeCell ref="N4:N5"/>
    <mergeCell ref="A21:O21"/>
    <mergeCell ref="B1:O1"/>
    <mergeCell ref="B2:O2"/>
    <mergeCell ref="B3:O3"/>
    <mergeCell ref="A4:A5"/>
    <mergeCell ref="B4:B5"/>
    <mergeCell ref="C4:C5"/>
    <mergeCell ref="D4:D5"/>
    <mergeCell ref="E4:E5"/>
    <mergeCell ref="F4:F5"/>
  </mergeCells>
  <printOptions horizontalCentered="1"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263"/>
  <sheetViews>
    <sheetView zoomScale="130" zoomScaleNormal="130" zoomScalePageLayoutView="0" workbookViewId="0" topLeftCell="A1">
      <selection activeCell="C197" sqref="C197"/>
    </sheetView>
  </sheetViews>
  <sheetFormatPr defaultColWidth="9.140625" defaultRowHeight="15"/>
  <cols>
    <col min="1" max="1" width="44.421875" style="136" customWidth="1"/>
    <col min="2" max="2" width="12.28125" style="136" customWidth="1"/>
    <col min="3" max="3" width="12.421875" style="136" customWidth="1"/>
    <col min="4" max="4" width="6.140625" style="136" customWidth="1"/>
    <col min="5" max="5" width="13.28125" style="136" customWidth="1"/>
    <col min="6" max="6" width="14.7109375" style="136" customWidth="1"/>
    <col min="7" max="8" width="10.8515625" style="136" bestFit="1" customWidth="1"/>
    <col min="9" max="16384" width="9.00390625" style="136" customWidth="1"/>
  </cols>
  <sheetData>
    <row r="2" spans="1:5" ht="18.75">
      <c r="A2" s="723" t="s">
        <v>451</v>
      </c>
      <c r="B2" s="723"/>
      <c r="C2" s="723"/>
      <c r="D2" s="723"/>
      <c r="E2" s="723"/>
    </row>
    <row r="3" spans="1:5" ht="18.75">
      <c r="A3" s="723" t="s">
        <v>175</v>
      </c>
      <c r="B3" s="723"/>
      <c r="C3" s="723"/>
      <c r="D3" s="723"/>
      <c r="E3" s="723"/>
    </row>
    <row r="4" spans="1:6" ht="18.75">
      <c r="A4" s="723" t="s">
        <v>688</v>
      </c>
      <c r="B4" s="723"/>
      <c r="C4" s="723"/>
      <c r="D4" s="723"/>
      <c r="E4" s="723"/>
      <c r="F4" s="127" t="s">
        <v>863</v>
      </c>
    </row>
    <row r="5" spans="1:5" ht="18.75">
      <c r="A5" s="720" t="s">
        <v>64</v>
      </c>
      <c r="B5" s="461" t="s">
        <v>106</v>
      </c>
      <c r="C5" s="720" t="s">
        <v>176</v>
      </c>
      <c r="D5" s="128" t="s">
        <v>177</v>
      </c>
      <c r="E5" s="720" t="s">
        <v>178</v>
      </c>
    </row>
    <row r="6" spans="1:5" ht="18.75">
      <c r="A6" s="720"/>
      <c r="B6" s="462" t="s">
        <v>119</v>
      </c>
      <c r="C6" s="720"/>
      <c r="D6" s="128" t="s">
        <v>179</v>
      </c>
      <c r="E6" s="720"/>
    </row>
    <row r="7" spans="1:5" ht="18.75">
      <c r="A7" s="463" t="s">
        <v>119</v>
      </c>
      <c r="B7" s="126"/>
      <c r="C7" s="126"/>
      <c r="D7" s="126"/>
      <c r="E7" s="126"/>
    </row>
    <row r="8" spans="1:5" ht="18.75">
      <c r="A8" s="463" t="s">
        <v>180</v>
      </c>
      <c r="B8" s="120"/>
      <c r="C8" s="120"/>
      <c r="D8" s="120"/>
      <c r="E8" s="120"/>
    </row>
    <row r="9" spans="1:5" ht="18.75">
      <c r="A9" s="463" t="s">
        <v>181</v>
      </c>
      <c r="B9" s="120"/>
      <c r="C9" s="120"/>
      <c r="D9" s="120"/>
      <c r="E9" s="120"/>
    </row>
    <row r="10" spans="1:5" ht="18.75">
      <c r="A10" s="126" t="s">
        <v>182</v>
      </c>
      <c r="B10" s="120">
        <v>200000</v>
      </c>
      <c r="C10" s="120">
        <v>182630.84</v>
      </c>
      <c r="D10" s="123" t="s">
        <v>183</v>
      </c>
      <c r="E10" s="120">
        <f>C10-B10</f>
        <v>-17369.160000000003</v>
      </c>
    </row>
    <row r="11" spans="1:5" ht="18.75">
      <c r="A11" s="126" t="s">
        <v>184</v>
      </c>
      <c r="B11" s="120">
        <v>86000</v>
      </c>
      <c r="C11" s="120">
        <v>91708</v>
      </c>
      <c r="D11" s="123" t="s">
        <v>177</v>
      </c>
      <c r="E11" s="120">
        <f>C11-B11</f>
        <v>5708</v>
      </c>
    </row>
    <row r="12" spans="1:5" ht="18.75">
      <c r="A12" s="126" t="s">
        <v>186</v>
      </c>
      <c r="B12" s="120">
        <v>18000</v>
      </c>
      <c r="C12" s="120">
        <v>14124</v>
      </c>
      <c r="D12" s="123" t="s">
        <v>183</v>
      </c>
      <c r="E12" s="120">
        <f>C12-B12</f>
        <v>-3876</v>
      </c>
    </row>
    <row r="13" spans="1:5" ht="18.75">
      <c r="A13" s="464" t="s">
        <v>515</v>
      </c>
      <c r="B13" s="121">
        <f>SUM(B10:B12)</f>
        <v>304000</v>
      </c>
      <c r="C13" s="121">
        <f>SUM(C10:C12)</f>
        <v>288462.83999999997</v>
      </c>
      <c r="D13" s="135" t="s">
        <v>177</v>
      </c>
      <c r="E13" s="121">
        <f>C13-B13</f>
        <v>-15537.160000000033</v>
      </c>
    </row>
    <row r="14" spans="1:5" ht="18.75">
      <c r="A14" s="126" t="s">
        <v>523</v>
      </c>
      <c r="B14" s="120">
        <v>460000</v>
      </c>
      <c r="C14" s="120">
        <v>323490.44</v>
      </c>
      <c r="D14" s="123" t="s">
        <v>177</v>
      </c>
      <c r="E14" s="121">
        <f aca="true" t="shared" si="0" ref="E14:E25">C14-B14</f>
        <v>-136509.56</v>
      </c>
    </row>
    <row r="15" spans="1:5" ht="18.75">
      <c r="A15" s="126" t="s">
        <v>531</v>
      </c>
      <c r="B15" s="120">
        <v>8330000</v>
      </c>
      <c r="C15" s="120">
        <v>9098837.79</v>
      </c>
      <c r="D15" s="123" t="s">
        <v>177</v>
      </c>
      <c r="E15" s="121">
        <f>C15-B15</f>
        <v>768837.7899999991</v>
      </c>
    </row>
    <row r="16" spans="1:5" ht="18.75">
      <c r="A16" s="126" t="s">
        <v>532</v>
      </c>
      <c r="B16" s="120">
        <v>2870000</v>
      </c>
      <c r="C16" s="120">
        <v>2815316.32</v>
      </c>
      <c r="D16" s="123" t="s">
        <v>179</v>
      </c>
      <c r="E16" s="121">
        <f>C16-B16</f>
        <v>-54683.68000000017</v>
      </c>
    </row>
    <row r="17" spans="1:5" ht="18.75">
      <c r="A17" s="126" t="s">
        <v>533</v>
      </c>
      <c r="B17" s="120">
        <v>41000</v>
      </c>
      <c r="C17" s="120">
        <v>52546.43</v>
      </c>
      <c r="D17" s="123" t="s">
        <v>179</v>
      </c>
      <c r="E17" s="121">
        <f t="shared" si="0"/>
        <v>11546.43</v>
      </c>
    </row>
    <row r="18" spans="1:5" ht="18.75">
      <c r="A18" s="126" t="s">
        <v>534</v>
      </c>
      <c r="B18" s="120">
        <v>1500000</v>
      </c>
      <c r="C18" s="120">
        <v>0</v>
      </c>
      <c r="D18" s="123" t="s">
        <v>179</v>
      </c>
      <c r="E18" s="121">
        <f t="shared" si="0"/>
        <v>-1500000</v>
      </c>
    </row>
    <row r="19" spans="1:5" ht="18.75">
      <c r="A19" s="126" t="s">
        <v>535</v>
      </c>
      <c r="B19" s="120">
        <v>3200000</v>
      </c>
      <c r="C19" s="120">
        <v>5498460.65</v>
      </c>
      <c r="D19" s="123" t="s">
        <v>177</v>
      </c>
      <c r="E19" s="121">
        <f t="shared" si="0"/>
        <v>2298460.6500000004</v>
      </c>
    </row>
    <row r="20" spans="1:5" ht="18.75">
      <c r="A20" s="126" t="s">
        <v>187</v>
      </c>
      <c r="B20" s="120">
        <v>37000</v>
      </c>
      <c r="C20" s="120">
        <v>44857.51</v>
      </c>
      <c r="D20" s="123" t="s">
        <v>177</v>
      </c>
      <c r="E20" s="121">
        <f>C20-B20</f>
        <v>7857.510000000002</v>
      </c>
    </row>
    <row r="21" spans="1:5" ht="18.75">
      <c r="A21" s="126" t="s">
        <v>188</v>
      </c>
      <c r="B21" s="120">
        <v>50000</v>
      </c>
      <c r="C21" s="120">
        <v>43000.49</v>
      </c>
      <c r="D21" s="123" t="s">
        <v>185</v>
      </c>
      <c r="E21" s="121">
        <f>C21-B21</f>
        <v>-6999.510000000002</v>
      </c>
    </row>
    <row r="22" spans="1:5" ht="18.75">
      <c r="A22" s="126" t="s">
        <v>536</v>
      </c>
      <c r="B22" s="120">
        <v>2076000</v>
      </c>
      <c r="C22" s="120">
        <v>2046526</v>
      </c>
      <c r="D22" s="123" t="s">
        <v>179</v>
      </c>
      <c r="E22" s="121">
        <f t="shared" si="0"/>
        <v>-29474</v>
      </c>
    </row>
    <row r="23" spans="1:5" ht="18.75">
      <c r="A23" s="126" t="s">
        <v>1014</v>
      </c>
      <c r="B23" s="120"/>
      <c r="C23" s="120">
        <v>13330</v>
      </c>
      <c r="D23" s="123" t="s">
        <v>179</v>
      </c>
      <c r="E23" s="121">
        <f>C23-B23</f>
        <v>13330</v>
      </c>
    </row>
    <row r="24" spans="1:5" ht="18.75">
      <c r="A24" s="464" t="s">
        <v>358</v>
      </c>
      <c r="B24" s="121">
        <f>SUM(B14:B22)</f>
        <v>18564000</v>
      </c>
      <c r="C24" s="121">
        <f>SUM(C14:C23)</f>
        <v>19936365.63</v>
      </c>
      <c r="D24" s="135" t="s">
        <v>177</v>
      </c>
      <c r="E24" s="121">
        <f t="shared" si="0"/>
        <v>1372365.629999999</v>
      </c>
    </row>
    <row r="25" spans="1:5" ht="18.75">
      <c r="A25" s="465" t="s">
        <v>60</v>
      </c>
      <c r="B25" s="121">
        <f>B24+B13</f>
        <v>18868000</v>
      </c>
      <c r="C25" s="121">
        <f>C24+C13</f>
        <v>20224828.47</v>
      </c>
      <c r="D25" s="135" t="s">
        <v>177</v>
      </c>
      <c r="E25" s="121">
        <f t="shared" si="0"/>
        <v>1356828.4699999988</v>
      </c>
    </row>
    <row r="26" spans="1:5" ht="18.75">
      <c r="A26" s="463" t="s">
        <v>189</v>
      </c>
      <c r="B26" s="120"/>
      <c r="C26" s="120"/>
      <c r="D26" s="123"/>
      <c r="E26" s="120"/>
    </row>
    <row r="27" spans="1:5" ht="18.75">
      <c r="A27" s="463" t="s">
        <v>190</v>
      </c>
      <c r="B27" s="120"/>
      <c r="C27" s="120"/>
      <c r="D27" s="123"/>
      <c r="E27" s="120"/>
    </row>
    <row r="28" spans="1:5" ht="18.75">
      <c r="A28" s="126" t="s">
        <v>524</v>
      </c>
      <c r="B28" s="120">
        <v>100</v>
      </c>
      <c r="C28" s="120">
        <v>40</v>
      </c>
      <c r="D28" s="123" t="s">
        <v>179</v>
      </c>
      <c r="E28" s="120">
        <f aca="true" t="shared" si="1" ref="E28:E43">C28-B28</f>
        <v>-60</v>
      </c>
    </row>
    <row r="29" spans="1:5" ht="18.75">
      <c r="A29" s="126" t="s">
        <v>525</v>
      </c>
      <c r="B29" s="120">
        <v>500</v>
      </c>
      <c r="C29" s="120">
        <v>3439</v>
      </c>
      <c r="D29" s="123" t="s">
        <v>177</v>
      </c>
      <c r="E29" s="120">
        <f t="shared" si="1"/>
        <v>2939</v>
      </c>
    </row>
    <row r="30" spans="1:5" ht="18.75">
      <c r="A30" s="126" t="s">
        <v>526</v>
      </c>
      <c r="B30" s="120">
        <v>500</v>
      </c>
      <c r="C30" s="120">
        <v>770</v>
      </c>
      <c r="D30" s="123" t="s">
        <v>179</v>
      </c>
      <c r="E30" s="120">
        <f t="shared" si="1"/>
        <v>270</v>
      </c>
    </row>
    <row r="31" spans="1:5" ht="18.75">
      <c r="A31" s="126" t="s">
        <v>527</v>
      </c>
      <c r="B31" s="120">
        <v>135000</v>
      </c>
      <c r="C31" s="120">
        <v>141805</v>
      </c>
      <c r="D31" s="123" t="s">
        <v>177</v>
      </c>
      <c r="E31" s="120">
        <f t="shared" si="1"/>
        <v>6805</v>
      </c>
    </row>
    <row r="32" spans="1:5" ht="18.75">
      <c r="A32" s="126" t="s">
        <v>528</v>
      </c>
      <c r="B32" s="120">
        <v>500</v>
      </c>
      <c r="C32" s="120">
        <v>0</v>
      </c>
      <c r="D32" s="123" t="s">
        <v>179</v>
      </c>
      <c r="E32" s="120">
        <f t="shared" si="1"/>
        <v>-500</v>
      </c>
    </row>
    <row r="33" spans="1:5" ht="18.75">
      <c r="A33" s="126" t="s">
        <v>529</v>
      </c>
      <c r="B33" s="120">
        <v>1000</v>
      </c>
      <c r="C33" s="120">
        <v>1200</v>
      </c>
      <c r="D33" s="123" t="s">
        <v>177</v>
      </c>
      <c r="E33" s="120">
        <f t="shared" si="1"/>
        <v>200</v>
      </c>
    </row>
    <row r="34" spans="1:5" ht="18.75">
      <c r="A34" s="126" t="s">
        <v>530</v>
      </c>
      <c r="B34" s="120">
        <v>5000</v>
      </c>
      <c r="C34" s="120">
        <v>5200</v>
      </c>
      <c r="D34" s="123" t="s">
        <v>177</v>
      </c>
      <c r="E34" s="120">
        <f t="shared" si="1"/>
        <v>200</v>
      </c>
    </row>
    <row r="35" spans="1:5" ht="18.75">
      <c r="A35" s="126" t="s">
        <v>689</v>
      </c>
      <c r="B35" s="120">
        <v>1000</v>
      </c>
      <c r="C35" s="120">
        <v>0</v>
      </c>
      <c r="D35" s="123" t="s">
        <v>177</v>
      </c>
      <c r="E35" s="120">
        <f>C35-B35</f>
        <v>-1000</v>
      </c>
    </row>
    <row r="36" spans="1:5" ht="18.75" customHeight="1">
      <c r="A36" s="126" t="s">
        <v>690</v>
      </c>
      <c r="B36" s="120">
        <v>4500</v>
      </c>
      <c r="C36" s="120">
        <v>4500</v>
      </c>
      <c r="D36" s="123"/>
      <c r="E36" s="120">
        <f t="shared" si="1"/>
        <v>0</v>
      </c>
    </row>
    <row r="37" spans="1:5" ht="18.75">
      <c r="A37" s="126" t="s">
        <v>691</v>
      </c>
      <c r="B37" s="120">
        <v>34000</v>
      </c>
      <c r="C37" s="120">
        <v>36000</v>
      </c>
      <c r="D37" s="123" t="s">
        <v>177</v>
      </c>
      <c r="E37" s="120">
        <f t="shared" si="1"/>
        <v>2000</v>
      </c>
    </row>
    <row r="38" spans="1:5" ht="18.75">
      <c r="A38" s="126" t="s">
        <v>692</v>
      </c>
      <c r="B38" s="120">
        <v>2000</v>
      </c>
      <c r="C38" s="120">
        <v>7555</v>
      </c>
      <c r="D38" s="123" t="s">
        <v>177</v>
      </c>
      <c r="E38" s="120">
        <f t="shared" si="1"/>
        <v>5555</v>
      </c>
    </row>
    <row r="39" spans="1:5" ht="18.75">
      <c r="A39" s="126" t="s">
        <v>1066</v>
      </c>
      <c r="B39" s="120">
        <v>0</v>
      </c>
      <c r="C39" s="120">
        <v>1649</v>
      </c>
      <c r="D39" s="123" t="s">
        <v>177</v>
      </c>
      <c r="E39" s="120">
        <f t="shared" si="1"/>
        <v>1649</v>
      </c>
    </row>
    <row r="40" spans="1:5" ht="18.75">
      <c r="A40" s="465" t="s">
        <v>60</v>
      </c>
      <c r="B40" s="121">
        <f>SUM(B28:B38)</f>
        <v>184100</v>
      </c>
      <c r="C40" s="121">
        <f>SUM(C28:C39)</f>
        <v>202158</v>
      </c>
      <c r="D40" s="135" t="s">
        <v>177</v>
      </c>
      <c r="E40" s="120">
        <f t="shared" si="1"/>
        <v>18058</v>
      </c>
    </row>
    <row r="41" spans="1:5" ht="18.75">
      <c r="A41" s="463" t="s">
        <v>191</v>
      </c>
      <c r="B41" s="120"/>
      <c r="C41" s="120"/>
      <c r="D41" s="123"/>
      <c r="E41" s="120">
        <f t="shared" si="1"/>
        <v>0</v>
      </c>
    </row>
    <row r="42" spans="1:5" ht="18.75">
      <c r="A42" s="126" t="s">
        <v>192</v>
      </c>
      <c r="B42" s="120">
        <v>131000</v>
      </c>
      <c r="C42" s="120">
        <v>187567.88</v>
      </c>
      <c r="D42" s="135" t="s">
        <v>179</v>
      </c>
      <c r="E42" s="120">
        <f t="shared" si="1"/>
        <v>56567.880000000005</v>
      </c>
    </row>
    <row r="43" spans="1:5" ht="18.75">
      <c r="A43" s="465" t="s">
        <v>60</v>
      </c>
      <c r="B43" s="121">
        <f>B42</f>
        <v>131000</v>
      </c>
      <c r="C43" s="121">
        <f>C42</f>
        <v>187567.88</v>
      </c>
      <c r="D43" s="135" t="s">
        <v>179</v>
      </c>
      <c r="E43" s="121">
        <f t="shared" si="1"/>
        <v>56567.880000000005</v>
      </c>
    </row>
    <row r="44" spans="1:5" ht="18.75">
      <c r="A44" s="720" t="s">
        <v>64</v>
      </c>
      <c r="B44" s="461" t="s">
        <v>106</v>
      </c>
      <c r="C44" s="720" t="s">
        <v>176</v>
      </c>
      <c r="D44" s="128" t="s">
        <v>177</v>
      </c>
      <c r="E44" s="720" t="s">
        <v>178</v>
      </c>
    </row>
    <row r="45" spans="1:5" ht="18.75">
      <c r="A45" s="720"/>
      <c r="B45" s="462" t="s">
        <v>119</v>
      </c>
      <c r="C45" s="720"/>
      <c r="D45" s="128" t="s">
        <v>179</v>
      </c>
      <c r="E45" s="720"/>
    </row>
    <row r="46" spans="1:5" ht="18.75">
      <c r="A46" s="463" t="s">
        <v>193</v>
      </c>
      <c r="B46" s="120"/>
      <c r="C46" s="120"/>
      <c r="D46" s="123"/>
      <c r="E46" s="120"/>
    </row>
    <row r="47" spans="1:5" ht="18.75">
      <c r="A47" s="126" t="s">
        <v>458</v>
      </c>
      <c r="B47" s="120">
        <v>0</v>
      </c>
      <c r="C47" s="120">
        <v>0</v>
      </c>
      <c r="D47" s="123" t="s">
        <v>177</v>
      </c>
      <c r="E47" s="120">
        <f aca="true" t="shared" si="2" ref="E47:E52">C47-B47</f>
        <v>0</v>
      </c>
    </row>
    <row r="48" spans="1:5" ht="18.75">
      <c r="A48" s="465" t="s">
        <v>60</v>
      </c>
      <c r="B48" s="121">
        <f>B47</f>
        <v>0</v>
      </c>
      <c r="C48" s="121">
        <f>C47</f>
        <v>0</v>
      </c>
      <c r="D48" s="135" t="s">
        <v>177</v>
      </c>
      <c r="E48" s="121">
        <f t="shared" si="2"/>
        <v>0</v>
      </c>
    </row>
    <row r="49" spans="1:5" ht="18.75">
      <c r="A49" s="463" t="s">
        <v>194</v>
      </c>
      <c r="B49" s="120"/>
      <c r="C49" s="120"/>
      <c r="D49" s="123"/>
      <c r="E49" s="120">
        <f t="shared" si="2"/>
        <v>0</v>
      </c>
    </row>
    <row r="50" spans="1:5" ht="18.75">
      <c r="A50" s="126" t="s">
        <v>195</v>
      </c>
      <c r="B50" s="120">
        <v>107000</v>
      </c>
      <c r="C50" s="120">
        <v>0</v>
      </c>
      <c r="D50" s="123" t="s">
        <v>179</v>
      </c>
      <c r="E50" s="120">
        <f t="shared" si="2"/>
        <v>-107000</v>
      </c>
    </row>
    <row r="51" spans="1:5" ht="18.75">
      <c r="A51" s="126" t="s">
        <v>459</v>
      </c>
      <c r="B51" s="120">
        <v>29400</v>
      </c>
      <c r="C51" s="120">
        <v>4323</v>
      </c>
      <c r="D51" s="123" t="s">
        <v>179</v>
      </c>
      <c r="E51" s="120">
        <f t="shared" si="2"/>
        <v>-25077</v>
      </c>
    </row>
    <row r="52" spans="1:5" ht="18.75">
      <c r="A52" s="465" t="s">
        <v>60</v>
      </c>
      <c r="B52" s="121">
        <f>SUM(B50:B51)</f>
        <v>136400</v>
      </c>
      <c r="C52" s="121">
        <f>SUM(C50:C51)</f>
        <v>4323</v>
      </c>
      <c r="D52" s="135" t="s">
        <v>179</v>
      </c>
      <c r="E52" s="121">
        <f t="shared" si="2"/>
        <v>-132077</v>
      </c>
    </row>
    <row r="53" spans="1:5" ht="18.75">
      <c r="A53" s="466" t="s">
        <v>460</v>
      </c>
      <c r="B53" s="121"/>
      <c r="C53" s="121"/>
      <c r="D53" s="135"/>
      <c r="E53" s="121"/>
    </row>
    <row r="54" spans="1:5" ht="18.75">
      <c r="A54" s="126" t="s">
        <v>461</v>
      </c>
      <c r="B54" s="120">
        <v>500</v>
      </c>
      <c r="C54" s="120">
        <v>0</v>
      </c>
      <c r="D54" s="123" t="s">
        <v>177</v>
      </c>
      <c r="E54" s="120">
        <f>C54-B54</f>
        <v>-500</v>
      </c>
    </row>
    <row r="55" spans="1:5" ht="18.75">
      <c r="A55" s="465" t="s">
        <v>60</v>
      </c>
      <c r="B55" s="121">
        <f>SUM(B54)</f>
        <v>500</v>
      </c>
      <c r="C55" s="121">
        <f>SUM(C54)</f>
        <v>0</v>
      </c>
      <c r="D55" s="135"/>
      <c r="E55" s="121">
        <f>C55-B55</f>
        <v>-500</v>
      </c>
    </row>
    <row r="56" spans="1:5" ht="18.75">
      <c r="A56" s="463" t="s">
        <v>196</v>
      </c>
      <c r="B56" s="462"/>
      <c r="C56" s="128"/>
      <c r="D56" s="128"/>
      <c r="E56" s="128"/>
    </row>
    <row r="57" spans="1:5" ht="18.75">
      <c r="A57" s="463" t="s">
        <v>197</v>
      </c>
      <c r="B57" s="462"/>
      <c r="C57" s="128"/>
      <c r="D57" s="128"/>
      <c r="E57" s="128"/>
    </row>
    <row r="58" spans="1:5" ht="18.75">
      <c r="A58" s="126" t="s">
        <v>677</v>
      </c>
      <c r="B58" s="120">
        <v>27215000</v>
      </c>
      <c r="C58" s="120">
        <v>22350376</v>
      </c>
      <c r="D58" s="123" t="s">
        <v>179</v>
      </c>
      <c r="E58" s="120">
        <f>C58-B58</f>
        <v>-4864624</v>
      </c>
    </row>
    <row r="59" spans="1:5" ht="18.75">
      <c r="A59" s="126" t="s">
        <v>198</v>
      </c>
      <c r="B59" s="120">
        <v>0</v>
      </c>
      <c r="C59" s="129">
        <v>0</v>
      </c>
      <c r="D59" s="123"/>
      <c r="E59" s="120">
        <f>C59-B59</f>
        <v>0</v>
      </c>
    </row>
    <row r="60" spans="1:5" ht="18.75">
      <c r="A60" s="126" t="s">
        <v>478</v>
      </c>
      <c r="B60" s="120">
        <v>0</v>
      </c>
      <c r="C60" s="130">
        <v>0</v>
      </c>
      <c r="D60" s="123"/>
      <c r="E60" s="120">
        <f>C60-B60</f>
        <v>0</v>
      </c>
    </row>
    <row r="61" spans="1:5" ht="18.75">
      <c r="A61" s="465" t="s">
        <v>60</v>
      </c>
      <c r="B61" s="121">
        <f>B58</f>
        <v>27215000</v>
      </c>
      <c r="C61" s="121">
        <f>SUM(C58:C60)</f>
        <v>22350376</v>
      </c>
      <c r="D61" s="135" t="s">
        <v>179</v>
      </c>
      <c r="E61" s="121">
        <f>C61-B61</f>
        <v>-4864624</v>
      </c>
    </row>
    <row r="62" spans="1:5" ht="18.75">
      <c r="A62" s="465" t="s">
        <v>199</v>
      </c>
      <c r="B62" s="121">
        <f>B61+B55+B52+B48+B43+B40+B25</f>
        <v>46535000</v>
      </c>
      <c r="C62" s="121">
        <f>C25+C40+C43+C48+C52+C55+C61</f>
        <v>42969253.349999994</v>
      </c>
      <c r="D62" s="135" t="s">
        <v>179</v>
      </c>
      <c r="E62" s="121">
        <f>C62-B62</f>
        <v>-3565746.650000006</v>
      </c>
    </row>
    <row r="63" spans="1:5" ht="18.75">
      <c r="A63" s="467"/>
      <c r="B63" s="131"/>
      <c r="C63" s="131"/>
      <c r="D63" s="468"/>
      <c r="E63" s="131"/>
    </row>
    <row r="64" spans="1:5" ht="18.75">
      <c r="A64" s="469"/>
      <c r="B64" s="132"/>
      <c r="C64" s="132"/>
      <c r="D64" s="470"/>
      <c r="E64" s="132"/>
    </row>
    <row r="65" spans="1:5" ht="18.75">
      <c r="A65" s="469"/>
      <c r="B65" s="132"/>
      <c r="C65" s="132"/>
      <c r="D65" s="470"/>
      <c r="E65" s="132"/>
    </row>
    <row r="66" spans="1:5" ht="18.75">
      <c r="A66" s="469"/>
      <c r="B66" s="132"/>
      <c r="C66" s="132"/>
      <c r="D66" s="470"/>
      <c r="E66" s="132"/>
    </row>
    <row r="67" spans="1:5" ht="18.75">
      <c r="A67" s="469"/>
      <c r="B67" s="132"/>
      <c r="C67" s="132"/>
      <c r="D67" s="470"/>
      <c r="E67" s="132"/>
    </row>
    <row r="68" spans="1:5" ht="18.75">
      <c r="A68" s="469"/>
      <c r="B68" s="132"/>
      <c r="C68" s="132"/>
      <c r="D68" s="470"/>
      <c r="E68" s="132"/>
    </row>
    <row r="69" spans="1:5" ht="18.75">
      <c r="A69" s="469"/>
      <c r="B69" s="132"/>
      <c r="C69" s="132"/>
      <c r="D69" s="470"/>
      <c r="E69" s="132"/>
    </row>
    <row r="70" spans="1:5" ht="18.75">
      <c r="A70" s="469"/>
      <c r="B70" s="132"/>
      <c r="C70" s="132"/>
      <c r="D70" s="470"/>
      <c r="E70" s="132"/>
    </row>
    <row r="71" spans="1:5" ht="18.75">
      <c r="A71" s="469"/>
      <c r="B71" s="132"/>
      <c r="C71" s="132"/>
      <c r="D71" s="470"/>
      <c r="E71" s="132"/>
    </row>
    <row r="72" spans="1:5" ht="18.75">
      <c r="A72" s="469"/>
      <c r="B72" s="132"/>
      <c r="C72" s="132"/>
      <c r="D72" s="470"/>
      <c r="E72" s="132"/>
    </row>
    <row r="73" spans="1:5" ht="18.75">
      <c r="A73" s="469"/>
      <c r="B73" s="132"/>
      <c r="C73" s="132"/>
      <c r="D73" s="470"/>
      <c r="E73" s="132"/>
    </row>
    <row r="74" spans="1:5" ht="18.75">
      <c r="A74" s="469"/>
      <c r="B74" s="132"/>
      <c r="C74" s="132"/>
      <c r="D74" s="470"/>
      <c r="E74" s="132"/>
    </row>
    <row r="75" spans="1:5" ht="18.75">
      <c r="A75" s="469"/>
      <c r="B75" s="132"/>
      <c r="C75" s="132"/>
      <c r="D75" s="470"/>
      <c r="E75" s="132"/>
    </row>
    <row r="76" spans="1:5" ht="18.75">
      <c r="A76" s="469"/>
      <c r="B76" s="132"/>
      <c r="C76" s="132"/>
      <c r="D76" s="470"/>
      <c r="E76" s="132"/>
    </row>
    <row r="77" spans="1:5" ht="18.75">
      <c r="A77" s="469"/>
      <c r="B77" s="132"/>
      <c r="C77" s="132"/>
      <c r="D77" s="470"/>
      <c r="E77" s="132"/>
    </row>
    <row r="78" spans="1:5" ht="18.75">
      <c r="A78" s="469"/>
      <c r="B78" s="132"/>
      <c r="C78" s="132"/>
      <c r="D78" s="470"/>
      <c r="E78" s="132"/>
    </row>
    <row r="79" spans="1:5" ht="18.75">
      <c r="A79" s="469"/>
      <c r="B79" s="132"/>
      <c r="C79" s="132"/>
      <c r="D79" s="470"/>
      <c r="E79" s="132"/>
    </row>
    <row r="80" spans="1:5" ht="18.75">
      <c r="A80" s="469"/>
      <c r="B80" s="132"/>
      <c r="C80" s="132"/>
      <c r="D80" s="470"/>
      <c r="E80" s="132"/>
    </row>
    <row r="81" spans="1:5" ht="18.75">
      <c r="A81" s="469"/>
      <c r="B81" s="132"/>
      <c r="C81" s="132"/>
      <c r="D81" s="470"/>
      <c r="E81" s="132"/>
    </row>
    <row r="82" spans="1:5" ht="18.75">
      <c r="A82" s="469"/>
      <c r="B82" s="132"/>
      <c r="C82" s="132"/>
      <c r="D82" s="470"/>
      <c r="E82" s="132"/>
    </row>
    <row r="83" spans="1:5" ht="18.75">
      <c r="A83" s="469"/>
      <c r="B83" s="132"/>
      <c r="C83" s="132"/>
      <c r="D83" s="470"/>
      <c r="E83" s="132"/>
    </row>
    <row r="84" spans="1:5" ht="18.75">
      <c r="A84" s="469"/>
      <c r="B84" s="132"/>
      <c r="C84" s="132"/>
      <c r="D84" s="470"/>
      <c r="E84" s="132"/>
    </row>
    <row r="85" spans="1:5" ht="18.75">
      <c r="A85" s="469"/>
      <c r="B85" s="132"/>
      <c r="C85" s="132"/>
      <c r="D85" s="470"/>
      <c r="E85" s="132"/>
    </row>
    <row r="86" spans="1:5" ht="18.75">
      <c r="A86" s="469"/>
      <c r="B86" s="132"/>
      <c r="C86" s="132"/>
      <c r="D86" s="470"/>
      <c r="E86" s="132"/>
    </row>
    <row r="87" spans="1:5" ht="18.75">
      <c r="A87" s="469"/>
      <c r="B87" s="132"/>
      <c r="C87" s="132"/>
      <c r="D87" s="470"/>
      <c r="E87" s="132"/>
    </row>
    <row r="88" spans="1:5" ht="18.75">
      <c r="A88" s="180" t="s">
        <v>114</v>
      </c>
      <c r="B88" s="133"/>
      <c r="C88" s="133"/>
      <c r="D88" s="471"/>
      <c r="E88" s="133"/>
    </row>
    <row r="89" spans="1:5" ht="18.75">
      <c r="A89" s="181" t="s">
        <v>200</v>
      </c>
      <c r="B89" s="134"/>
      <c r="C89" s="134"/>
      <c r="D89" s="472"/>
      <c r="E89" s="134"/>
    </row>
    <row r="90" spans="1:5" ht="18.75">
      <c r="A90" s="720" t="s">
        <v>64</v>
      </c>
      <c r="B90" s="473" t="s">
        <v>106</v>
      </c>
      <c r="C90" s="135" t="s">
        <v>201</v>
      </c>
      <c r="D90" s="135" t="s">
        <v>177</v>
      </c>
      <c r="E90" s="721" t="s">
        <v>178</v>
      </c>
    </row>
    <row r="91" spans="1:5" ht="18.75">
      <c r="A91" s="720"/>
      <c r="B91" s="474" t="s">
        <v>114</v>
      </c>
      <c r="C91" s="135"/>
      <c r="D91" s="135" t="s">
        <v>179</v>
      </c>
      <c r="E91" s="722"/>
    </row>
    <row r="92" spans="1:5" ht="18.75">
      <c r="A92" s="463" t="s">
        <v>202</v>
      </c>
      <c r="B92" s="120"/>
      <c r="C92" s="120"/>
      <c r="D92" s="123"/>
      <c r="E92" s="120"/>
    </row>
    <row r="93" spans="1:5" ht="18.75">
      <c r="A93" s="126" t="s">
        <v>537</v>
      </c>
      <c r="B93" s="120">
        <v>185770</v>
      </c>
      <c r="C93" s="120">
        <v>148461</v>
      </c>
      <c r="D93" s="123" t="s">
        <v>185</v>
      </c>
      <c r="E93" s="120">
        <f aca="true" t="shared" si="3" ref="E93:E99">B93-C93</f>
        <v>37309</v>
      </c>
    </row>
    <row r="94" spans="1:8" ht="18.75">
      <c r="A94" s="126" t="s">
        <v>538</v>
      </c>
      <c r="B94" s="120">
        <v>11289400</v>
      </c>
      <c r="C94" s="120">
        <v>10388200</v>
      </c>
      <c r="D94" s="123" t="s">
        <v>185</v>
      </c>
      <c r="E94" s="120">
        <f t="shared" si="3"/>
        <v>901200</v>
      </c>
      <c r="F94" s="480"/>
      <c r="G94" s="480"/>
      <c r="H94" s="480"/>
    </row>
    <row r="95" spans="1:8" ht="18.75">
      <c r="A95" s="126" t="s">
        <v>539</v>
      </c>
      <c r="B95" s="120">
        <v>3219200</v>
      </c>
      <c r="C95" s="120">
        <v>2787200</v>
      </c>
      <c r="D95" s="123" t="s">
        <v>185</v>
      </c>
      <c r="E95" s="120">
        <f t="shared" si="3"/>
        <v>432000</v>
      </c>
      <c r="F95" s="480"/>
      <c r="G95" s="480"/>
      <c r="H95" s="480"/>
    </row>
    <row r="96" spans="1:5" ht="18.75">
      <c r="A96" s="126" t="s">
        <v>540</v>
      </c>
      <c r="B96" s="120">
        <v>10500</v>
      </c>
      <c r="C96" s="120">
        <v>10500</v>
      </c>
      <c r="D96" s="123" t="s">
        <v>185</v>
      </c>
      <c r="E96" s="120">
        <f t="shared" si="3"/>
        <v>0</v>
      </c>
    </row>
    <row r="97" spans="1:5" ht="18.75">
      <c r="A97" s="126" t="s">
        <v>541</v>
      </c>
      <c r="B97" s="120">
        <v>900000</v>
      </c>
      <c r="C97" s="120">
        <v>665526</v>
      </c>
      <c r="D97" s="123" t="s">
        <v>185</v>
      </c>
      <c r="E97" s="120">
        <f t="shared" si="3"/>
        <v>234474</v>
      </c>
    </row>
    <row r="98" spans="1:5" ht="18.75">
      <c r="A98" s="126" t="s">
        <v>693</v>
      </c>
      <c r="B98" s="120">
        <v>335950</v>
      </c>
      <c r="C98" s="120">
        <v>147442</v>
      </c>
      <c r="D98" s="123" t="s">
        <v>185</v>
      </c>
      <c r="E98" s="120">
        <f t="shared" si="3"/>
        <v>188508</v>
      </c>
    </row>
    <row r="99" spans="1:5" ht="18.75">
      <c r="A99" s="126" t="s">
        <v>542</v>
      </c>
      <c r="B99" s="120">
        <v>193200</v>
      </c>
      <c r="C99" s="120">
        <v>193200</v>
      </c>
      <c r="D99" s="123" t="s">
        <v>185</v>
      </c>
      <c r="E99" s="120">
        <f t="shared" si="3"/>
        <v>0</v>
      </c>
    </row>
    <row r="100" spans="1:5" ht="18.75">
      <c r="A100" s="126" t="s">
        <v>1056</v>
      </c>
      <c r="B100" s="120">
        <v>60960</v>
      </c>
      <c r="C100" s="120">
        <v>60960</v>
      </c>
      <c r="D100" s="123" t="s">
        <v>185</v>
      </c>
      <c r="E100" s="120">
        <f>B100-C100</f>
        <v>0</v>
      </c>
    </row>
    <row r="101" spans="1:7" ht="18.75">
      <c r="A101" s="465" t="s">
        <v>203</v>
      </c>
      <c r="B101" s="121">
        <f>SUM(B93:B100)</f>
        <v>16194980</v>
      </c>
      <c r="C101" s="121">
        <f>SUM(C93:C100)</f>
        <v>14401489</v>
      </c>
      <c r="D101" s="121">
        <f>SUM(D97:D99)</f>
        <v>0</v>
      </c>
      <c r="E101" s="121">
        <f>SUM(E93:E99)</f>
        <v>1793491</v>
      </c>
      <c r="F101" s="480"/>
      <c r="G101" s="480"/>
    </row>
    <row r="102" spans="1:5" ht="18.75">
      <c r="A102" s="465"/>
      <c r="B102" s="121"/>
      <c r="C102" s="121"/>
      <c r="D102" s="123"/>
      <c r="E102" s="121"/>
    </row>
    <row r="103" spans="1:5" ht="18.75">
      <c r="A103" s="463" t="s">
        <v>204</v>
      </c>
      <c r="B103" s="120"/>
      <c r="C103" s="120"/>
      <c r="D103" s="123"/>
      <c r="E103" s="120">
        <f aca="true" t="shared" si="4" ref="E103:E108">B103-C103</f>
        <v>0</v>
      </c>
    </row>
    <row r="104" spans="1:5" ht="20.25">
      <c r="A104" s="126" t="s">
        <v>543</v>
      </c>
      <c r="B104" s="212">
        <f>514080-480000</f>
        <v>34080</v>
      </c>
      <c r="C104" s="120">
        <v>23491</v>
      </c>
      <c r="D104" s="123" t="s">
        <v>179</v>
      </c>
      <c r="E104" s="120">
        <f t="shared" si="4"/>
        <v>10589</v>
      </c>
    </row>
    <row r="105" spans="1:5" ht="20.25">
      <c r="A105" s="126" t="s">
        <v>544</v>
      </c>
      <c r="B105" s="212">
        <f>42120-30600</f>
        <v>11520</v>
      </c>
      <c r="C105" s="120">
        <v>1923</v>
      </c>
      <c r="D105" s="123" t="s">
        <v>179</v>
      </c>
      <c r="E105" s="120">
        <f t="shared" si="4"/>
        <v>9597</v>
      </c>
    </row>
    <row r="106" spans="1:5" ht="20.25">
      <c r="A106" s="126" t="s">
        <v>545</v>
      </c>
      <c r="B106" s="212">
        <f>42120-40000</f>
        <v>2120</v>
      </c>
      <c r="C106" s="120">
        <v>1923</v>
      </c>
      <c r="D106" s="123" t="s">
        <v>179</v>
      </c>
      <c r="E106" s="120">
        <f t="shared" si="4"/>
        <v>197</v>
      </c>
    </row>
    <row r="107" spans="1:5" ht="20.25">
      <c r="A107" s="126" t="s">
        <v>546</v>
      </c>
      <c r="B107" s="212">
        <f>86400-45000-30000</f>
        <v>11400</v>
      </c>
      <c r="C107" s="120">
        <v>3948</v>
      </c>
      <c r="D107" s="123" t="s">
        <v>179</v>
      </c>
      <c r="E107" s="120">
        <f t="shared" si="4"/>
        <v>7452</v>
      </c>
    </row>
    <row r="108" spans="1:5" ht="20.25">
      <c r="A108" s="126" t="s">
        <v>547</v>
      </c>
      <c r="B108" s="475">
        <f>3096000</f>
        <v>3096000</v>
      </c>
      <c r="C108" s="120">
        <v>2836800</v>
      </c>
      <c r="D108" s="123" t="s">
        <v>179</v>
      </c>
      <c r="E108" s="120">
        <f t="shared" si="4"/>
        <v>259200</v>
      </c>
    </row>
    <row r="109" spans="1:5" ht="18.75">
      <c r="A109" s="465" t="s">
        <v>205</v>
      </c>
      <c r="B109" s="121">
        <f>SUM(B104:B108)</f>
        <v>3155120</v>
      </c>
      <c r="C109" s="121">
        <f>SUM(C104:C108)</f>
        <v>2868085</v>
      </c>
      <c r="D109" s="135" t="s">
        <v>179</v>
      </c>
      <c r="E109" s="121">
        <f>SUM(E104:E108)</f>
        <v>287035</v>
      </c>
    </row>
    <row r="110" spans="1:5" ht="18.75">
      <c r="A110" s="465"/>
      <c r="B110" s="121"/>
      <c r="C110" s="121"/>
      <c r="D110" s="135"/>
      <c r="E110" s="121"/>
    </row>
    <row r="111" spans="1:5" ht="18.75">
      <c r="A111" s="466" t="s">
        <v>206</v>
      </c>
      <c r="B111" s="121"/>
      <c r="C111" s="121"/>
      <c r="D111" s="135"/>
      <c r="E111" s="121"/>
    </row>
    <row r="112" spans="1:5" ht="18.75">
      <c r="A112" s="126" t="s">
        <v>511</v>
      </c>
      <c r="B112" s="120">
        <f>'[2]สรุปรายจ่ายตามงบประมาณ '!D25+'[2]สรุปรายจ่ายตามงบประมาณ '!D33+'[2]สรุปรายจ่ายตามงบประมาณ '!D41+'[2]สรุปรายจ่ายตามงบประมาณ '!D49+'[2]สรุปรายจ่ายตามงบประมาณ '!D55+'[2]สรุปรายจ่ายตามงบประมาณ '!D62+'[2]สรุปรายจ่ายตามงบประมาณ '!D68+'[2]สรุปรายจ่ายตามงบประมาณ '!D75</f>
        <v>6549160</v>
      </c>
      <c r="C112" s="120">
        <f>'[2]สรุปรายจ่ายตามงบประมาณ '!E25+'[2]สรุปรายจ่ายตามงบประมาณ '!E33+'[2]สรุปรายจ่ายตามงบประมาณ '!E41+'[2]สรุปรายจ่ายตามงบประมาณ '!E49+'[2]สรุปรายจ่ายตามงบประมาณ '!E55+'[2]สรุปรายจ่ายตามงบประมาณ '!E62+'[2]สรุปรายจ่ายตามงบประมาณ '!E68+'[2]สรุปรายจ่ายตามงบประมาณ '!E75</f>
        <v>5612110</v>
      </c>
      <c r="D112" s="123" t="s">
        <v>179</v>
      </c>
      <c r="E112" s="120">
        <f>B112-C112</f>
        <v>937050</v>
      </c>
    </row>
    <row r="113" spans="1:5" ht="18.75">
      <c r="A113" s="126" t="s">
        <v>548</v>
      </c>
      <c r="B113" s="120">
        <f>'[2]สรุปรายจ่ายตามงบประมาณ '!D26+'[2]สรุปรายจ่ายตามงบประมาณ '!D34+'[2]สรุปรายจ่ายตามงบประมาณ '!D42</f>
        <v>126840</v>
      </c>
      <c r="C113" s="120">
        <f>'[2]สรุปรายจ่ายตามงบประมาณ '!E26+'[2]สรุปรายจ่ายตามงบประมาณ '!E34+'[2]สรุปรายจ่ายตามงบประมาณ '!E42</f>
        <v>84000</v>
      </c>
      <c r="D113" s="123"/>
      <c r="E113" s="120">
        <f>B113-C113</f>
        <v>42840</v>
      </c>
    </row>
    <row r="114" spans="1:5" ht="18.75">
      <c r="A114" s="126" t="s">
        <v>1057</v>
      </c>
      <c r="B114" s="120">
        <f>'[2]สรุปรายจ่ายตามงบประมาณ '!D27+'[2]สรุปรายจ่ายตามงบประมาณ '!D35+'[2]สรุปรายจ่ายตามงบประมาณ '!D43+'[2]สรุปรายจ่ายตามงบประมาณ '!D50+'[2]สรุปรายจ่ายตามงบประมาณ '!D56+'[2]สรุปรายจ่ายตามงบประมาณ '!D63+'[2]สรุปรายจ่ายตามงบประมาณ '!D69+'[2]สรุปรายจ่ายตามงบประมาณ '!D76</f>
        <v>413000</v>
      </c>
      <c r="C114" s="120">
        <f>'[2]สรุปรายจ่ายตามงบประมาณ '!E27+'[2]สรุปรายจ่ายตามงบประมาณ '!E35+'[2]สรุปรายจ่ายตามงบประมาณ '!E43+'[2]สรุปรายจ่ายตามงบประมาณ '!E50+'[2]สรุปรายจ่ายตามงบประมาณ '!E56+'[2]สรุปรายจ่ายตามงบประมาณ '!E63+'[2]สรุปรายจ่ายตามงบประมาณ '!E69+'[2]สรุปรายจ่ายตามงบประมาณ '!E76</f>
        <v>311048</v>
      </c>
      <c r="D114" s="123" t="s">
        <v>179</v>
      </c>
      <c r="E114" s="120">
        <f>B114-C114</f>
        <v>101952</v>
      </c>
    </row>
    <row r="115" spans="1:5" ht="18.75">
      <c r="A115" s="126" t="s">
        <v>1058</v>
      </c>
      <c r="B115" s="120">
        <f>'[2]สรุปรายจ่ายตามงบประมาณ '!D29+'[2]สรุปรายจ่ายตามงบประมาณ '!D37+'[2]สรุปรายจ่ายตามงบประมาณ '!D45+'[2]สรุปรายจ่ายตามงบประมาณ '!D52+'[2]สรุปรายจ่ายตามงบประมาณ '!D58+'[2]สรุปรายจ่ายตามงบประมาณ '!D65+'[2]สรุปรายจ่ายตามงบประมาณ '!D71+'[2]สรุปรายจ่ายตามงบประมาณ '!D78</f>
        <v>3400160</v>
      </c>
      <c r="C115" s="120">
        <f>'[2]สรุปรายจ่ายตามงบประมาณ '!E29+'[2]สรุปรายจ่ายตามงบประมาณ '!E37+'[2]สรุปรายจ่ายตามงบประมาณ '!E45+'[2]สรุปรายจ่ายตามงบประมาณ '!E52+'[2]สรุปรายจ่ายตามงบประมาณ '!E58+'[2]สรุปรายจ่ายตามงบประมาณ '!E65+'[2]สรุปรายจ่ายตามงบประมาณ '!E71+'[2]สรุปรายจ่ายตามงบประมาณ '!E78</f>
        <v>2712257</v>
      </c>
      <c r="D115" s="123" t="s">
        <v>179</v>
      </c>
      <c r="E115" s="120">
        <f>B115-C115</f>
        <v>687903</v>
      </c>
    </row>
    <row r="116" spans="1:5" ht="18.75">
      <c r="A116" s="126" t="s">
        <v>1059</v>
      </c>
      <c r="B116" s="120">
        <f>'[2]สรุปรายจ่ายตามงบประมาณ '!D30+'[2]สรุปรายจ่ายตามงบประมาณ '!D38+'[2]สรุปรายจ่ายตามงบประมาณ '!D46+'[2]สรุปรายจ่ายตามงบประมาณ '!D59+'[2]สรุปรายจ่ายตามงบประมาณ '!D72+'[2]สรุปรายจ่ายตามงบประมาณ '!D79</f>
        <v>315890</v>
      </c>
      <c r="C116" s="120">
        <f>'[2]สรุปรายจ่ายตามงบประมาณ '!E30+'[2]สรุปรายจ่ายตามงบประมาณ '!E38+'[2]สรุปรายจ่ายตามงบประมาณ '!E46+'[2]สรุปรายจ่ายตามงบประมาณ '!E59+'[2]สรุปรายจ่ายตามงบประมาณ '!E72+'[2]สรุปรายจ่ายตามงบประมาณ '!E79</f>
        <v>260639</v>
      </c>
      <c r="D116" s="123" t="s">
        <v>179</v>
      </c>
      <c r="E116" s="120">
        <f>B116-C116</f>
        <v>55251</v>
      </c>
    </row>
    <row r="117" spans="1:6" ht="18.75">
      <c r="A117" s="465" t="s">
        <v>207</v>
      </c>
      <c r="B117" s="121">
        <f>SUM(B112:B116)</f>
        <v>10805050</v>
      </c>
      <c r="C117" s="121">
        <f>SUM(C112:C116)</f>
        <v>8980054</v>
      </c>
      <c r="D117" s="135" t="s">
        <v>179</v>
      </c>
      <c r="E117" s="121">
        <f>SUM(E112:E116)</f>
        <v>1824996</v>
      </c>
      <c r="F117" s="480"/>
    </row>
    <row r="118" spans="1:5" ht="18.75">
      <c r="A118" s="465"/>
      <c r="B118" s="121"/>
      <c r="C118" s="121"/>
      <c r="D118" s="135"/>
      <c r="E118" s="121"/>
    </row>
    <row r="119" spans="1:5" ht="18.75">
      <c r="A119" s="463" t="s">
        <v>208</v>
      </c>
      <c r="B119" s="120"/>
      <c r="C119" s="120"/>
      <c r="D119" s="123"/>
      <c r="E119" s="120">
        <f aca="true" t="shared" si="5" ref="E119:E126">B119-C119</f>
        <v>0</v>
      </c>
    </row>
    <row r="120" spans="1:5" ht="18.75">
      <c r="A120" s="463" t="s">
        <v>209</v>
      </c>
      <c r="B120" s="120"/>
      <c r="C120" s="120"/>
      <c r="D120" s="123"/>
      <c r="E120" s="120">
        <f t="shared" si="5"/>
        <v>0</v>
      </c>
    </row>
    <row r="121" spans="1:5" ht="18.75">
      <c r="A121" s="126" t="s">
        <v>210</v>
      </c>
      <c r="B121" s="120">
        <f>'[2]สรุปรายจ่ายตามงบประมาณ '!D84+'[2]สรุปรายจ่ายตามงบประมาณ '!D90+'[2]สรุปรายจ่ายตามงบประมาณ '!D93+'[2]สรุปรายจ่ายตามงบประมาณ '!D99+'[2]สรุปรายจ่ายตามงบประมาณ '!D105+'[2]สรุปรายจ่ายตามงบประมาณ '!D110+'[2]สรุปรายจ่ายตามงบประมาณ '!D116+'[2]สรุปรายจ่ายตามงบประมาณ '!D122+'[2]สรุปรายจ่ายตามงบประมาณ '!D128</f>
        <v>525000</v>
      </c>
      <c r="C121" s="120">
        <f>'[2]สรุปรายจ่ายตามงบประมาณ '!E90+'[2]สรุปรายจ่ายตามงบประมาณ '!E84+'[2]สรุปรายจ่ายตามงบประมาณ '!E93+'[2]สรุปรายจ่ายตามงบประมาณ '!E99+'[2]สรุปรายจ่ายตามงบประมาณ '!E105+'[2]สรุปรายจ่ายตามงบประมาณ '!E110+'[2]สรุปรายจ่ายตามงบประมาณ '!E116+'[2]สรุปรายจ่ายตามงบประมาณ '!E122+'[2]สรุปรายจ่ายตามงบประมาณ '!E128</f>
        <v>81000</v>
      </c>
      <c r="D121" s="123" t="s">
        <v>179</v>
      </c>
      <c r="E121" s="120">
        <f t="shared" si="5"/>
        <v>444000</v>
      </c>
    </row>
    <row r="122" spans="1:5" ht="18.75">
      <c r="A122" s="126" t="s">
        <v>211</v>
      </c>
      <c r="B122" s="120">
        <f>'[2]สรุปรายจ่ายตามงบประมาณ '!D85+'[2]สรุปรายจ่ายตามงบประมาณ '!D94+'[2]สรุปรายจ่ายตามงบประมาณ '!D100+'[2]สรุปรายจ่ายตามงบประมาณ '!D106+'[2]สรุปรายจ่ายตามงบประมาณ '!D111+'[2]สรุปรายจ่ายตามงบประมาณ '!D117+'[2]สรุปรายจ่ายตามงบประมาณ '!D123+'[2]สรุปรายจ่ายตามงบประมาณ '!D129</f>
        <v>62000</v>
      </c>
      <c r="C122" s="120">
        <f>'[2]สรุปรายจ่ายตามงบประมาณ '!E85+'[2]สรุปรายจ่ายตามงบประมาณ '!E94+'[2]สรุปรายจ่ายตามงบประมาณ '!E100+'[2]สรุปรายจ่ายตามงบประมาณ '!E106+'[2]สรุปรายจ่ายตามงบประมาณ '!E111+'[2]สรุปรายจ่ายตามงบประมาณ '!E117+'[2]สรุปรายจ่ายตามงบประมาณ '!E123+'[2]สรุปรายจ่ายตามงบประมาณ '!E129</f>
        <v>0</v>
      </c>
      <c r="D122" s="123" t="s">
        <v>179</v>
      </c>
      <c r="E122" s="120">
        <f t="shared" si="5"/>
        <v>62000</v>
      </c>
    </row>
    <row r="123" spans="1:5" ht="18.75">
      <c r="A123" s="126" t="s">
        <v>212</v>
      </c>
      <c r="B123" s="120">
        <f>'[2]สรุปรายจ่ายตามงบประมาณ '!D86+'[2]สรุปรายจ่ายตามงบประมาณ '!D95+'[2]สรุปรายจ่ายตามงบประมาณ '!D101+'[2]สรุปรายจ่ายตามงบประมาณ '!D119+'[2]สรุปรายจ่ายตามงบประมาณ '!D125+'[2]สรุปรายจ่ายตามงบประมาณ '!D130</f>
        <v>438000</v>
      </c>
      <c r="C123" s="120">
        <f>'[2]สรุปรายจ่ายตามงบประมาณ '!E86+'[2]สรุปรายจ่ายตามงบประมาณ '!E95+'[2]สรุปรายจ่ายตามงบประมาณ '!E101+'[2]สรุปรายจ่ายตามงบประมาณ '!E125</f>
        <v>271500</v>
      </c>
      <c r="D123" s="123" t="s">
        <v>179</v>
      </c>
      <c r="E123" s="120">
        <f t="shared" si="5"/>
        <v>166500</v>
      </c>
    </row>
    <row r="124" spans="1:5" ht="18.75">
      <c r="A124" s="126" t="s">
        <v>213</v>
      </c>
      <c r="B124" s="120">
        <f>'[2]สรุปรายจ่ายตามงบประมาณ '!D87+'[2]สรุปรายจ่ายตามงบประมาณ '!D96+'[2]สรุปรายจ่ายตามงบประมาณ '!D102+'[2]สรุปรายจ่ายตามงบประมาณ '!D107+'[2]สรุปรายจ่ายตามงบประมาณ '!D112+'[2]สรุปรายจ่ายตามงบประมาณ '!D118+'[2]สรุปรายจ่ายตามงบประมาณ '!D124</f>
        <v>106080</v>
      </c>
      <c r="C124" s="120">
        <f>'[2]สรุปรายจ่ายตามงบประมาณ '!E87+'[2]สรุปรายจ่ายตามงบประมาณ '!E96+'[2]สรุปรายจ่ายตามงบประมาณ '!E102+'[2]สรุปรายจ่ายตามงบประมาณ '!E107+'[2]สรุปรายจ่ายตามงบประมาณ '!E112+'[2]สรุปรายจ่ายตามงบประมาณ '!E118+'[2]สรุปรายจ่ายตามงบประมาณ '!E124</f>
        <v>34000</v>
      </c>
      <c r="D124" s="123" t="s">
        <v>179</v>
      </c>
      <c r="E124" s="120">
        <f t="shared" si="5"/>
        <v>72080</v>
      </c>
    </row>
    <row r="125" spans="1:5" ht="18.75">
      <c r="A125" s="126" t="s">
        <v>462</v>
      </c>
      <c r="B125" s="120">
        <v>10000</v>
      </c>
      <c r="C125" s="120"/>
      <c r="D125" s="123" t="s">
        <v>179</v>
      </c>
      <c r="E125" s="120">
        <f t="shared" si="5"/>
        <v>10000</v>
      </c>
    </row>
    <row r="126" spans="1:6" ht="18.75">
      <c r="A126" s="465" t="s">
        <v>214</v>
      </c>
      <c r="B126" s="121">
        <f>SUM(B121:B125)</f>
        <v>1141080</v>
      </c>
      <c r="C126" s="121">
        <f>SUM(C121:C125)</f>
        <v>386500</v>
      </c>
      <c r="D126" s="135" t="s">
        <v>179</v>
      </c>
      <c r="E126" s="121">
        <f t="shared" si="5"/>
        <v>754580</v>
      </c>
      <c r="F126" s="480"/>
    </row>
    <row r="127" spans="1:5" s="616" customFormat="1" ht="18.75">
      <c r="A127" s="469"/>
      <c r="B127" s="132"/>
      <c r="C127" s="132"/>
      <c r="D127" s="470"/>
      <c r="E127" s="132"/>
    </row>
    <row r="128" spans="1:5" s="616" customFormat="1" ht="18.75">
      <c r="A128" s="469"/>
      <c r="B128" s="132"/>
      <c r="C128" s="132"/>
      <c r="D128" s="470"/>
      <c r="E128" s="132"/>
    </row>
    <row r="129" spans="1:5" ht="18.75">
      <c r="A129" s="720" t="s">
        <v>64</v>
      </c>
      <c r="B129" s="473" t="s">
        <v>106</v>
      </c>
      <c r="C129" s="135" t="s">
        <v>201</v>
      </c>
      <c r="D129" s="135" t="s">
        <v>177</v>
      </c>
      <c r="E129" s="721" t="s">
        <v>178</v>
      </c>
    </row>
    <row r="130" spans="1:5" ht="18.75">
      <c r="A130" s="720"/>
      <c r="B130" s="474" t="s">
        <v>114</v>
      </c>
      <c r="C130" s="135"/>
      <c r="D130" s="135" t="s">
        <v>179</v>
      </c>
      <c r="E130" s="722"/>
    </row>
    <row r="131" spans="1:5" ht="18.75">
      <c r="A131" s="463" t="s">
        <v>215</v>
      </c>
      <c r="B131" s="120"/>
      <c r="C131" s="120"/>
      <c r="D131" s="123"/>
      <c r="E131" s="120"/>
    </row>
    <row r="132" spans="1:5" ht="18.75">
      <c r="A132" s="126" t="s">
        <v>216</v>
      </c>
      <c r="B132" s="481">
        <f>'[2]สรุปรายจ่ายตามงบประมาณ '!D135+'[2]สรุปรายจ่ายตามงบประมาณ '!D159+'[2]สรุปรายจ่ายตามงบประมาณ '!D166+'[2]สรุปรายจ่ายตามงบประมาณ '!D193+'[2]สรุปรายจ่ายตามงบประมาณ '!D200+'[2]สรุปรายจ่ายตามงบประมาณ '!D204+'[2]สรุปรายจ่ายตามงบประมาณ '!D208+'[2]สรุปรายจ่ายตามงบประมาณ '!D214+'[2]สรุปรายจ่ายตามงบประมาณ '!D224+'[2]สรุปรายจ่ายตามงบประมาณ '!D244</f>
        <v>2338360</v>
      </c>
      <c r="C132" s="481">
        <f>'[2]สรุปรายจ่ายตามงบประมาณ '!E135+'[2]สรุปรายจ่ายตามงบประมาณ '!E159+'[2]สรุปรายจ่ายตามงบประมาณ '!E166+'[2]สรุปรายจ่ายตามงบประมาณ '!E193+'[2]สรุปรายจ่ายตามงบประมาณ '!E200+'[2]สรุปรายจ่ายตามงบประมาณ '!E204+'[2]สรุปรายจ่ายตามงบประมาณ '!E208+'[2]สรุปรายจ่ายตามงบประมาณ '!E214+'[2]สรุปรายจ่ายตามงบประมาณ '!E224+'[2]สรุปรายจ่ายตามงบประมาณ '!E244</f>
        <v>1524936</v>
      </c>
      <c r="D132" s="123" t="s">
        <v>179</v>
      </c>
      <c r="E132" s="120">
        <f>B132-C132</f>
        <v>813424</v>
      </c>
    </row>
    <row r="133" spans="1:5" ht="18.75">
      <c r="A133" s="126" t="s">
        <v>217</v>
      </c>
      <c r="B133" s="480">
        <f>'[2]สรุปรายจ่ายตามงบประมาณ '!D136++'[2]สรุปรายจ่ายตามงบประมาณ '!D167+'[2]สรุปรายจ่ายตามงบประมาณ '!D186+'[2]สรุปรายจ่ายตามงบประมาณ '!D215+'[2]สรุปรายจ่ายตามงบประมาณ '!D225</f>
        <v>115500</v>
      </c>
      <c r="C133" s="120">
        <f>'[2]สรุปรายจ่ายตามงบประมาณ '!E136++'[2]สรุปรายจ่ายตามงบประมาณ '!E167+'[2]สรุปรายจ่ายตามงบประมาณ '!E186+'[2]สรุปรายจ่ายตามงบประมาณ '!E215+'[2]สรุปรายจ่ายตามงบประมาณ '!E225</f>
        <v>58695</v>
      </c>
      <c r="D133" s="274" t="s">
        <v>179</v>
      </c>
      <c r="E133" s="273">
        <f>B133-C133</f>
        <v>56805</v>
      </c>
    </row>
    <row r="134" spans="1:5" ht="18.75">
      <c r="A134" s="126" t="s">
        <v>218</v>
      </c>
      <c r="B134" s="120"/>
      <c r="C134" s="120"/>
      <c r="D134" s="123"/>
      <c r="E134" s="120"/>
    </row>
    <row r="135" spans="1:5" ht="18.75">
      <c r="A135" s="124" t="s">
        <v>551</v>
      </c>
      <c r="B135" s="120">
        <f>'[2]สรุปรายจ่ายตามงบประมาณ '!D138+'[2]สรุปรายจ่ายตามงบประมาณ '!D163+'[2]สรุปรายจ่ายตามงบประมาณ '!D173+'[2]สรุปรายจ่ายตามงบประมาณ '!D180+'[2]สรุปรายจ่ายตามงบประมาณ '!D195+'[2]สรุปรายจ่ายตามงบประมาณ '!D220+'[2]สรุปรายจ่ายตามงบประมาณ '!D227+'[2]สรุปรายจ่ายตามงบประมาณ '!D247</f>
        <v>285000</v>
      </c>
      <c r="C135" s="120">
        <f>'[2]สรุปรายจ่ายตามงบประมาณ '!E138+'[2]สรุปรายจ่ายตามงบประมาณ '!E163+'[2]สรุปรายจ่ายตามงบประมาณ '!E173+'[2]สรุปรายจ่ายตามงบประมาณ '!E180+'[2]สรุปรายจ่ายตามงบประมาณ '!E195+'[2]สรุปรายจ่ายตามงบประมาณ '!E220+'[2]สรุปรายจ่ายตามงบประมาณ '!E227+'[2]สรุปรายจ่ายตามงบประมาณ '!E247</f>
        <v>87838</v>
      </c>
      <c r="D135" s="123"/>
      <c r="E135" s="120">
        <f>B135-C135</f>
        <v>197162</v>
      </c>
    </row>
    <row r="136" spans="1:5" ht="20.25">
      <c r="A136" s="476" t="s">
        <v>552</v>
      </c>
      <c r="B136" s="120">
        <f>'[2]สรุปรายจ่ายตามงบประมาณ '!D139</f>
        <v>56800</v>
      </c>
      <c r="C136" s="120">
        <f>'[2]สรุปรายจ่ายตามงบประมาณ '!E139</f>
        <v>6750</v>
      </c>
      <c r="D136" s="123"/>
      <c r="E136" s="120">
        <f>B136-C136</f>
        <v>50050</v>
      </c>
    </row>
    <row r="137" spans="1:5" ht="18.75">
      <c r="A137" s="124" t="s">
        <v>694</v>
      </c>
      <c r="B137" s="120">
        <f>'[2]สรุปรายจ่ายตามงบประมาณ '!D140</f>
        <v>57500</v>
      </c>
      <c r="C137" s="120">
        <f>'[2]สรุปรายจ่ายตามงบประมาณ '!E140</f>
        <v>0</v>
      </c>
      <c r="D137" s="123"/>
      <c r="E137" s="120">
        <f>B137-C137</f>
        <v>57500</v>
      </c>
    </row>
    <row r="138" spans="1:5" ht="18.75">
      <c r="A138" s="124" t="s">
        <v>695</v>
      </c>
      <c r="B138" s="120">
        <f>'[2]สรุปรายจ่ายตามงบประมาณ '!D141</f>
        <v>20000</v>
      </c>
      <c r="C138" s="120">
        <f>'[2]สรุปรายจ่ายตามงบประมาณ '!E141</f>
        <v>0</v>
      </c>
      <c r="D138" s="123"/>
      <c r="E138" s="120">
        <f aca="true" t="shared" si="6" ref="E138:E181">B138-C138</f>
        <v>20000</v>
      </c>
    </row>
    <row r="139" spans="1:5" ht="18.75">
      <c r="A139" s="124" t="s">
        <v>696</v>
      </c>
      <c r="B139" s="120">
        <f>'[2]สรุปรายจ่ายตามงบประมาณ '!D142</f>
        <v>50000</v>
      </c>
      <c r="C139" s="120">
        <f>'[2]สรุปรายจ่ายตามงบประมาณ '!E142</f>
        <v>18895</v>
      </c>
      <c r="D139" s="123"/>
      <c r="E139" s="120">
        <f t="shared" si="6"/>
        <v>31105</v>
      </c>
    </row>
    <row r="140" spans="1:5" ht="18.75">
      <c r="A140" s="124" t="s">
        <v>697</v>
      </c>
      <c r="B140" s="120">
        <f>'[2]สรุปรายจ่ายตามงบประมาณ '!D143</f>
        <v>20000</v>
      </c>
      <c r="C140" s="120">
        <f>'[2]สรุปรายจ่ายตามงบประมาณ '!E143</f>
        <v>0</v>
      </c>
      <c r="D140" s="123"/>
      <c r="E140" s="120">
        <f t="shared" si="6"/>
        <v>20000</v>
      </c>
    </row>
    <row r="141" spans="1:5" ht="18.75">
      <c r="A141" s="124" t="s">
        <v>698</v>
      </c>
      <c r="B141" s="120">
        <f>'[2]สรุปรายจ่ายตามงบประมาณ '!D144</f>
        <v>50000</v>
      </c>
      <c r="C141" s="120">
        <f>'[2]สรุปรายจ่ายตามงบประมาณ '!E144</f>
        <v>5860</v>
      </c>
      <c r="D141" s="123"/>
      <c r="E141" s="120">
        <f t="shared" si="6"/>
        <v>44140</v>
      </c>
    </row>
    <row r="142" spans="1:5" ht="18.75">
      <c r="A142" s="124" t="s">
        <v>699</v>
      </c>
      <c r="B142" s="120">
        <f>'[2]สรุปรายจ่ายตามงบประมาณ '!D145</f>
        <v>10000</v>
      </c>
      <c r="C142" s="120">
        <f>'[2]สรุปรายจ่ายตามงบประมาณ '!E145</f>
        <v>4680</v>
      </c>
      <c r="D142" s="123"/>
      <c r="E142" s="120">
        <f t="shared" si="6"/>
        <v>5320</v>
      </c>
    </row>
    <row r="143" spans="1:5" ht="18.75">
      <c r="A143" s="124" t="s">
        <v>700</v>
      </c>
      <c r="B143" s="120">
        <f>'[2]สรุปรายจ่ายตามงบประมาณ '!D146</f>
        <v>20000</v>
      </c>
      <c r="C143" s="120">
        <f>'[2]สรุปรายจ่ายตามงบประมาณ '!E146</f>
        <v>13760</v>
      </c>
      <c r="D143" s="123"/>
      <c r="E143" s="120">
        <f t="shared" si="6"/>
        <v>6240</v>
      </c>
    </row>
    <row r="144" spans="1:5" ht="18.75">
      <c r="A144" s="122" t="s">
        <v>549</v>
      </c>
      <c r="B144" s="120">
        <f>'[2]สรุปรายจ่ายตามงบประมาณ '!D150</f>
        <v>20000</v>
      </c>
      <c r="C144" s="120">
        <f>'[2]สรุปรายจ่ายตามงบประมาณ '!E150</f>
        <v>6000</v>
      </c>
      <c r="D144" s="123" t="s">
        <v>179</v>
      </c>
      <c r="E144" s="120">
        <f t="shared" si="6"/>
        <v>14000</v>
      </c>
    </row>
    <row r="145" spans="1:5" ht="18.75">
      <c r="A145" s="122" t="s">
        <v>465</v>
      </c>
      <c r="B145" s="120">
        <f>'[2]สรุปรายจ่ายตามงบประมาณ '!D151</f>
        <v>20000</v>
      </c>
      <c r="C145" s="120">
        <f>'[2]สรุปรายจ่ายตามงบประมาณ '!E151</f>
        <v>8800</v>
      </c>
      <c r="D145" s="123" t="s">
        <v>179</v>
      </c>
      <c r="E145" s="120">
        <f t="shared" si="6"/>
        <v>11200</v>
      </c>
    </row>
    <row r="146" spans="1:5" ht="18.75">
      <c r="A146" s="122" t="s">
        <v>466</v>
      </c>
      <c r="B146" s="120">
        <f>'[2]สรุปรายจ่ายตามงบประมาณ '!D152</f>
        <v>30000</v>
      </c>
      <c r="C146" s="120">
        <f>'[2]สรุปรายจ่ายตามงบประมาณ '!E152</f>
        <v>900</v>
      </c>
      <c r="D146" s="123" t="s">
        <v>179</v>
      </c>
      <c r="E146" s="120">
        <f t="shared" si="6"/>
        <v>29100</v>
      </c>
    </row>
    <row r="147" spans="1:5" ht="18.75">
      <c r="A147" s="122" t="s">
        <v>468</v>
      </c>
      <c r="B147" s="120">
        <f>'[2]สรุปรายจ่ายตามงบประมาณ '!D153</f>
        <v>10000</v>
      </c>
      <c r="C147" s="120">
        <f>'[2]สรุปรายจ่ายตามงบประมาณ '!E153</f>
        <v>800</v>
      </c>
      <c r="D147" s="123" t="s">
        <v>179</v>
      </c>
      <c r="E147" s="120">
        <f t="shared" si="6"/>
        <v>9200</v>
      </c>
    </row>
    <row r="148" spans="1:5" ht="18.75">
      <c r="A148" s="122" t="s">
        <v>467</v>
      </c>
      <c r="B148" s="120">
        <f>'[2]สรุปรายจ่ายตามงบประมาณ '!D154</f>
        <v>20000</v>
      </c>
      <c r="C148" s="120">
        <f>'[2]สรุปรายจ่ายตามงบประมาณ '!E154</f>
        <v>0</v>
      </c>
      <c r="D148" s="123" t="s">
        <v>179</v>
      </c>
      <c r="E148" s="120">
        <f t="shared" si="6"/>
        <v>20000</v>
      </c>
    </row>
    <row r="149" spans="1:5" ht="18.75">
      <c r="A149" s="122" t="s">
        <v>469</v>
      </c>
      <c r="B149" s="120">
        <f>'[2]สรุปรายจ่ายตามงบประมาณ '!D155</f>
        <v>50000</v>
      </c>
      <c r="C149" s="120">
        <f>'[2]สรุปรายจ่ายตามงบประมาณ '!E155</f>
        <v>22390</v>
      </c>
      <c r="D149" s="123" t="s">
        <v>179</v>
      </c>
      <c r="E149" s="120">
        <f t="shared" si="6"/>
        <v>27610</v>
      </c>
    </row>
    <row r="150" spans="1:5" ht="18.75">
      <c r="A150" s="122" t="s">
        <v>550</v>
      </c>
      <c r="B150" s="120">
        <f>'[2]สรุปรายจ่ายตามงบประมาณ '!D156</f>
        <v>50000</v>
      </c>
      <c r="C150" s="120">
        <f>'[2]สรุปรายจ่ายตามงบประมาณ '!E156</f>
        <v>0</v>
      </c>
      <c r="D150" s="123" t="s">
        <v>179</v>
      </c>
      <c r="E150" s="120">
        <f t="shared" si="6"/>
        <v>50000</v>
      </c>
    </row>
    <row r="151" spans="1:5" ht="18.75">
      <c r="A151" s="124" t="s">
        <v>554</v>
      </c>
      <c r="B151" s="120">
        <f>'[2]สรุปรายจ่ายตามงบประมาณ '!D161</f>
        <v>5000</v>
      </c>
      <c r="C151" s="120">
        <f>'[2]สรุปรายจ่ายตามงบประมาณ '!E161</f>
        <v>0</v>
      </c>
      <c r="D151" s="123"/>
      <c r="E151" s="120">
        <f t="shared" si="6"/>
        <v>5000</v>
      </c>
    </row>
    <row r="152" spans="1:5" ht="18.75">
      <c r="A152" s="124" t="s">
        <v>726</v>
      </c>
      <c r="B152" s="120">
        <f>'[2]สรุปรายจ่ายตามงบประมาณ '!D162</f>
        <v>135290</v>
      </c>
      <c r="C152" s="120">
        <f>'[2]สรุปรายจ่ายตามงบประมาณ '!E162</f>
        <v>0</v>
      </c>
      <c r="D152" s="123"/>
      <c r="E152" s="120">
        <f t="shared" si="6"/>
        <v>135290</v>
      </c>
    </row>
    <row r="153" spans="1:5" ht="18.75">
      <c r="A153" s="124" t="s">
        <v>701</v>
      </c>
      <c r="B153" s="120">
        <f>'[2]สรุปรายจ่ายตามงบประมาณ '!D169</f>
        <v>30000</v>
      </c>
      <c r="C153" s="120">
        <f>'[2]สรุปรายจ่ายตามงบประมาณ '!E169</f>
        <v>0</v>
      </c>
      <c r="D153" s="123"/>
      <c r="E153" s="120">
        <f t="shared" si="6"/>
        <v>30000</v>
      </c>
    </row>
    <row r="154" spans="1:5" ht="18.75">
      <c r="A154" s="125" t="s">
        <v>702</v>
      </c>
      <c r="B154" s="120">
        <f>'[2]สรุปรายจ่ายตามงบประมาณ '!D170</f>
        <v>30000</v>
      </c>
      <c r="C154" s="120">
        <f>'[2]สรุปรายจ่ายตามงบประมาณ '!E170</f>
        <v>27940</v>
      </c>
      <c r="D154" s="123" t="s">
        <v>179</v>
      </c>
      <c r="E154" s="120">
        <f t="shared" si="6"/>
        <v>2060</v>
      </c>
    </row>
    <row r="155" spans="1:5" ht="18.75">
      <c r="A155" s="125" t="s">
        <v>703</v>
      </c>
      <c r="B155" s="120">
        <f>'[2]สรุปรายจ่ายตามงบประมาณ '!D171</f>
        <v>30000</v>
      </c>
      <c r="C155" s="120">
        <f>'[2]สรุปรายจ่ายตามงบประมาณ '!E171</f>
        <v>0</v>
      </c>
      <c r="D155" s="123" t="s">
        <v>179</v>
      </c>
      <c r="E155" s="120">
        <f t="shared" si="6"/>
        <v>30000</v>
      </c>
    </row>
    <row r="156" spans="1:5" ht="18.75">
      <c r="A156" s="125" t="s">
        <v>704</v>
      </c>
      <c r="B156" s="120">
        <f>'[2]สรุปรายจ่ายตามงบประมาณ '!D172</f>
        <v>30000</v>
      </c>
      <c r="C156" s="120">
        <f>'[2]สรุปรายจ่ายตามงบประมาณ '!E172</f>
        <v>0</v>
      </c>
      <c r="D156" s="123" t="s">
        <v>179</v>
      </c>
      <c r="E156" s="120">
        <f t="shared" si="6"/>
        <v>30000</v>
      </c>
    </row>
    <row r="157" spans="1:5" ht="18.75">
      <c r="A157" s="126" t="s">
        <v>463</v>
      </c>
      <c r="B157" s="120">
        <f>'[2]สรุปรายจ่ายตามงบประมาณ '!D177</f>
        <v>490480</v>
      </c>
      <c r="C157" s="120">
        <f>'[2]สรุปรายจ่ายตามงบประมาณ '!E177</f>
        <v>490480</v>
      </c>
      <c r="D157" s="123"/>
      <c r="E157" s="120">
        <f t="shared" si="6"/>
        <v>0</v>
      </c>
    </row>
    <row r="158" spans="1:5" ht="18.75">
      <c r="A158" s="126" t="s">
        <v>464</v>
      </c>
      <c r="B158" s="120">
        <f>'[2]สรุปรายจ่ายตามงบประมาณ '!D178</f>
        <v>18000</v>
      </c>
      <c r="C158" s="120">
        <f>'[2]สรุปรายจ่ายตามงบประมาณ '!E178</f>
        <v>0</v>
      </c>
      <c r="D158" s="123"/>
      <c r="E158" s="120">
        <f t="shared" si="6"/>
        <v>18000</v>
      </c>
    </row>
    <row r="159" spans="1:5" ht="18.75">
      <c r="A159" s="126" t="s">
        <v>555</v>
      </c>
      <c r="B159" s="120">
        <f>'[2]สรุปรายจ่ายตามงบประมาณ '!D179</f>
        <v>170000</v>
      </c>
      <c r="C159" s="120">
        <f>'[2]สรุปรายจ่ายตามงบประมาณ '!E179</f>
        <v>170000</v>
      </c>
      <c r="D159" s="123"/>
      <c r="E159" s="120">
        <f t="shared" si="6"/>
        <v>0</v>
      </c>
    </row>
    <row r="160" spans="1:5" ht="18.75">
      <c r="A160" s="122" t="s">
        <v>705</v>
      </c>
      <c r="B160" s="120">
        <f>'[2]สรุปรายจ่ายตามงบประมาณ '!D217</f>
        <v>500</v>
      </c>
      <c r="C160" s="120">
        <f>'[2]สรุปรายจ่ายตามงบประมาณ '!E217</f>
        <v>500</v>
      </c>
      <c r="D160" s="123"/>
      <c r="E160" s="120">
        <f t="shared" si="6"/>
        <v>0</v>
      </c>
    </row>
    <row r="161" spans="1:5" ht="18.75">
      <c r="A161" s="122" t="s">
        <v>706</v>
      </c>
      <c r="B161" s="120">
        <f>'[2]สรุปรายจ่ายตามงบประมาณ '!D218</f>
        <v>0</v>
      </c>
      <c r="C161" s="120">
        <f>'[2]สรุปรายจ่ายตามงบประมาณ '!E218</f>
        <v>0</v>
      </c>
      <c r="D161" s="123"/>
      <c r="E161" s="120">
        <f t="shared" si="6"/>
        <v>0</v>
      </c>
    </row>
    <row r="162" spans="1:5" ht="18.75">
      <c r="A162" s="122" t="s">
        <v>707</v>
      </c>
      <c r="B162" s="120">
        <f>'[2]สรุปรายจ่ายตามงบประมาณ '!D219</f>
        <v>89500</v>
      </c>
      <c r="C162" s="120">
        <f>'[2]สรุปรายจ่ายตามงบประมาณ '!E219</f>
        <v>80470</v>
      </c>
      <c r="D162" s="123"/>
      <c r="E162" s="120">
        <f t="shared" si="6"/>
        <v>9030</v>
      </c>
    </row>
    <row r="163" spans="1:5" ht="18.75">
      <c r="A163" s="122" t="s">
        <v>708</v>
      </c>
      <c r="B163" s="120">
        <f>'[2]สรุปรายจ่ายตามงบประมาณ '!D232</f>
        <v>10000</v>
      </c>
      <c r="C163" s="120">
        <f>'[2]สรุปรายจ่ายตามงบประมาณ '!E232</f>
        <v>0</v>
      </c>
      <c r="D163" s="123"/>
      <c r="E163" s="120">
        <f t="shared" si="6"/>
        <v>10000</v>
      </c>
    </row>
    <row r="164" spans="1:5" ht="18.75">
      <c r="A164" s="122" t="s">
        <v>713</v>
      </c>
      <c r="B164" s="120">
        <f>'[2]สรุปรายจ่ายตามงบประมาณ '!D210</f>
        <v>40000</v>
      </c>
      <c r="C164" s="120">
        <f>'[2]สรุปรายจ่ายตามงบประมาณ '!E210</f>
        <v>0</v>
      </c>
      <c r="D164" s="123"/>
      <c r="E164" s="120">
        <f t="shared" si="6"/>
        <v>40000</v>
      </c>
    </row>
    <row r="165" spans="1:5" ht="18.75">
      <c r="A165" s="122" t="s">
        <v>714</v>
      </c>
      <c r="B165" s="120">
        <f>'[2]สรุปรายจ่ายตามงบประมาณ '!D236</f>
        <v>80000</v>
      </c>
      <c r="C165" s="120">
        <f>'[2]สรุปรายจ่ายตามงบประมาณ '!E236</f>
        <v>0</v>
      </c>
      <c r="D165" s="123"/>
      <c r="E165" s="120">
        <f t="shared" si="6"/>
        <v>80000</v>
      </c>
    </row>
    <row r="166" spans="1:5" ht="18.75">
      <c r="A166" s="122" t="s">
        <v>715</v>
      </c>
      <c r="B166" s="120">
        <f>'[2]สรุปรายจ่ายตามงบประมาณ '!D237</f>
        <v>20000</v>
      </c>
      <c r="C166" s="120">
        <f>'[2]สรุปรายจ่ายตามงบประมาณ '!E237</f>
        <v>20000</v>
      </c>
      <c r="D166" s="123"/>
      <c r="E166" s="120">
        <f t="shared" si="6"/>
        <v>0</v>
      </c>
    </row>
    <row r="167" spans="1:5" ht="18.75">
      <c r="A167" s="125" t="s">
        <v>716</v>
      </c>
      <c r="B167" s="120">
        <f>'[2]สรุปรายจ่ายตามงบประมาณ '!D238</f>
        <v>30000</v>
      </c>
      <c r="C167" s="120">
        <f>'[2]สรุปรายจ่ายตามงบประมาณ '!E238</f>
        <v>18690</v>
      </c>
      <c r="D167" s="123"/>
      <c r="E167" s="120">
        <f t="shared" si="6"/>
        <v>11310</v>
      </c>
    </row>
    <row r="168" spans="1:5" ht="18.75">
      <c r="A168" s="125" t="s">
        <v>717</v>
      </c>
      <c r="B168" s="120">
        <f>'[2]สรุปรายจ่ายตามงบประมาณ '!D239</f>
        <v>20000</v>
      </c>
      <c r="C168" s="120">
        <f>'[2]สรุปรายจ่ายตามงบประมาณ '!E239</f>
        <v>0</v>
      </c>
      <c r="D168" s="123"/>
      <c r="E168" s="120">
        <f t="shared" si="6"/>
        <v>20000</v>
      </c>
    </row>
    <row r="169" spans="1:5" ht="18.75">
      <c r="A169" s="125" t="s">
        <v>718</v>
      </c>
      <c r="B169" s="120">
        <f>'[2]สรุปรายจ่ายตามงบประมาณ '!D240</f>
        <v>10000</v>
      </c>
      <c r="C169" s="120">
        <f>'[2]สรุปรายจ่ายตามงบประมาณ '!E240</f>
        <v>4650</v>
      </c>
      <c r="D169" s="123"/>
      <c r="E169" s="120">
        <f t="shared" si="6"/>
        <v>5350</v>
      </c>
    </row>
    <row r="170" spans="1:5" ht="18.75">
      <c r="A170" s="124" t="s">
        <v>719</v>
      </c>
      <c r="B170" s="120">
        <f>'[2]สรุปรายจ่ายตามงบประมาณ '!D241</f>
        <v>40000</v>
      </c>
      <c r="C170" s="120">
        <f>'[2]สรุปรายจ่ายตามงบประมาณ '!E241</f>
        <v>0</v>
      </c>
      <c r="D170" s="123"/>
      <c r="E170" s="120">
        <f t="shared" si="6"/>
        <v>40000</v>
      </c>
    </row>
    <row r="171" spans="1:5" ht="18.75">
      <c r="A171" s="125" t="s">
        <v>720</v>
      </c>
      <c r="B171" s="120">
        <f>'[2]สรุปรายจ่ายตามงบประมาณ '!D184</f>
        <v>90000</v>
      </c>
      <c r="C171" s="120">
        <f>'[2]สรุปรายจ่ายตามงบประมาณ '!E184</f>
        <v>0</v>
      </c>
      <c r="D171" s="123"/>
      <c r="E171" s="120">
        <f t="shared" si="6"/>
        <v>90000</v>
      </c>
    </row>
    <row r="172" spans="1:5" ht="18.75">
      <c r="A172" s="720" t="s">
        <v>64</v>
      </c>
      <c r="B172" s="473" t="s">
        <v>106</v>
      </c>
      <c r="C172" s="135" t="s">
        <v>201</v>
      </c>
      <c r="D172" s="135" t="s">
        <v>177</v>
      </c>
      <c r="E172" s="721" t="s">
        <v>178</v>
      </c>
    </row>
    <row r="173" spans="1:5" ht="18.75">
      <c r="A173" s="720"/>
      <c r="B173" s="474" t="s">
        <v>114</v>
      </c>
      <c r="C173" s="135"/>
      <c r="D173" s="135" t="s">
        <v>179</v>
      </c>
      <c r="E173" s="722"/>
    </row>
    <row r="174" spans="1:5" ht="18.75">
      <c r="A174" s="124" t="s">
        <v>721</v>
      </c>
      <c r="B174" s="120">
        <f>'[2]สรุปรายจ่ายตามงบประมาณ '!D188</f>
        <v>49520</v>
      </c>
      <c r="C174" s="120">
        <f>'[2]สรุปรายจ่ายตามงบประมาณ '!E188</f>
        <v>17306</v>
      </c>
      <c r="D174" s="123"/>
      <c r="E174" s="120">
        <f t="shared" si="6"/>
        <v>32214</v>
      </c>
    </row>
    <row r="175" spans="1:5" ht="18.75">
      <c r="A175" s="124" t="s">
        <v>727</v>
      </c>
      <c r="B175" s="120">
        <f>'[2]สรุปรายจ่ายตามงบประมาณ '!D189</f>
        <v>0</v>
      </c>
      <c r="C175" s="120">
        <f>'[2]สรุปรายจ่ายตามงบประมาณ '!E189</f>
        <v>0</v>
      </c>
      <c r="D175" s="123"/>
      <c r="E175" s="120">
        <f t="shared" si="6"/>
        <v>0</v>
      </c>
    </row>
    <row r="176" spans="1:5" ht="18.75">
      <c r="A176" s="124" t="s">
        <v>722</v>
      </c>
      <c r="B176" s="120">
        <f>'[2]สรุปรายจ่ายตามงบประมาณ '!D190</f>
        <v>30000</v>
      </c>
      <c r="C176" s="120">
        <f>'[2]สรุปรายจ่ายตามงบประมาณ '!E190</f>
        <v>26900</v>
      </c>
      <c r="D176" s="123"/>
      <c r="E176" s="120">
        <f t="shared" si="6"/>
        <v>3100</v>
      </c>
    </row>
    <row r="177" spans="1:5" ht="18.75">
      <c r="A177" s="124" t="s">
        <v>723</v>
      </c>
      <c r="B177" s="120">
        <f>'[2]สรุปรายจ่ายตามงบประมาณ '!D246</f>
        <v>50000</v>
      </c>
      <c r="C177" s="120">
        <f>'[2]สรุปรายจ่ายตามงบประมาณ '!E246</f>
        <v>0</v>
      </c>
      <c r="D177" s="123"/>
      <c r="E177" s="120">
        <f t="shared" si="6"/>
        <v>50000</v>
      </c>
    </row>
    <row r="178" spans="1:5" ht="18.75">
      <c r="A178" s="125" t="s">
        <v>724</v>
      </c>
      <c r="B178" s="120">
        <f>'[2]สรุปรายจ่ายตามงบประมาณ '!D252</f>
        <v>30000</v>
      </c>
      <c r="C178" s="120">
        <f>'[2]สรุปรายจ่ายตามงบประมาณ '!E252</f>
        <v>6970</v>
      </c>
      <c r="D178" s="123"/>
      <c r="E178" s="120">
        <f t="shared" si="6"/>
        <v>23030</v>
      </c>
    </row>
    <row r="179" spans="1:5" ht="18.75">
      <c r="A179" s="125" t="s">
        <v>725</v>
      </c>
      <c r="B179" s="120">
        <f>'[2]สรุปรายจ่ายตามงบประมาณ '!D253</f>
        <v>40000</v>
      </c>
      <c r="C179" s="120">
        <f>'[2]สรุปรายจ่ายตามงบประมาณ '!E253</f>
        <v>30900</v>
      </c>
      <c r="D179" s="123"/>
      <c r="E179" s="120">
        <f t="shared" si="6"/>
        <v>9100</v>
      </c>
    </row>
    <row r="180" spans="1:5" ht="18.75">
      <c r="A180" s="124" t="s">
        <v>553</v>
      </c>
      <c r="B180" s="480">
        <f>'[2]สรุปรายจ่ายตามงบประมาณ '!D147+'[2]สรุปรายจ่ายตามงบประมาณ '!D164+'[2]สรุปรายจ่ายตามงบประมาณ '!D174+'[2]สรุปรายจ่ายตามงบประมาณ '!D181+'[2]สรุปรายจ่ายตามงบประมาณ '!D196+'[2]สรุปรายจ่ายตามงบประมาณ '!D201+'[2]สรุปรายจ่ายตามงบประมาณ '!D205+'[2]สรุปรายจ่ายตามงบประมาณ '!D211+'[2]สรุปรายจ่ายตามงบประมาณ '!D221+'[2]สรุปรายจ่ายตามงบประมาณ '!D228+'[2]สรุปรายจ่ายตามงบประมาณ '!D248</f>
        <v>666000</v>
      </c>
      <c r="C180" s="120">
        <f>'[2]สรุปรายจ่ายตามงบประมาณ '!E147+'[2]สรุปรายจ่ายตามงบประมาณ '!E164+'[2]สรุปรายจ่ายตามงบประมาณ '!E174+'[2]สรุปรายจ่ายตามงบประมาณ '!E181+'[2]สรุปรายจ่ายตามงบประมาณ '!E196+'[2]สรุปรายจ่ายตามงบประมาณ '!E201+'[2]สรุปรายจ่ายตามงบประมาณ '!E205+'[2]สรุปรายจ่ายตามงบประมาณ '!E211+'[2]สรุปรายจ่ายตามงบประมาณ '!E221+'[2]สรุปรายจ่ายตามงบประมาณ '!E228+'[2]สรุปรายจ่ายตามงบประมาณ '!E248</f>
        <v>151440</v>
      </c>
      <c r="D180" s="123"/>
      <c r="E180" s="120">
        <f t="shared" si="6"/>
        <v>514560</v>
      </c>
    </row>
    <row r="181" spans="1:5" ht="18.75">
      <c r="A181" s="465" t="s">
        <v>219</v>
      </c>
      <c r="B181" s="121">
        <f>SUM(B132:B180)</f>
        <v>5457450</v>
      </c>
      <c r="C181" s="121">
        <f>SUM(C131:C180)</f>
        <v>2806550</v>
      </c>
      <c r="D181" s="123" t="s">
        <v>179</v>
      </c>
      <c r="E181" s="121">
        <f t="shared" si="6"/>
        <v>2650900</v>
      </c>
    </row>
    <row r="182" spans="1:5" ht="18.75">
      <c r="A182" s="465"/>
      <c r="B182" s="121"/>
      <c r="C182" s="121"/>
      <c r="D182" s="123"/>
      <c r="E182" s="121"/>
    </row>
    <row r="183" spans="1:5" ht="18.75">
      <c r="A183" s="463" t="s">
        <v>220</v>
      </c>
      <c r="B183" s="120"/>
      <c r="C183" s="120"/>
      <c r="D183" s="123"/>
      <c r="E183" s="120"/>
    </row>
    <row r="184" spans="1:5" ht="18.75">
      <c r="A184" s="126" t="s">
        <v>221</v>
      </c>
      <c r="B184" s="120">
        <f>'[2]สรุปรายจ่ายตามงบประมาณ '!D258+'[2]สรุปรายจ่ายตามงบประมาณ '!D267+'[2]สรุปรายจ่ายตามงบประมาณ '!D270+'[2]สรุปรายจ่ายตามงบประมาณ '!D282+'[2]สรุปรายจ่ายตามงบประมาณ '!D291+'[2]สรุปรายจ่ายตามงบประมาณ '!D296</f>
        <v>320000</v>
      </c>
      <c r="C184" s="120">
        <f>'[2]สรุปรายจ่ายตามงบประมาณ '!E258+'[2]สรุปรายจ่ายตามงบประมาณ '!E267+'[2]สรุปรายจ่ายตามงบประมาณ '!E270+'[2]สรุปรายจ่ายตามงบประมาณ '!E282+'[2]สรุปรายจ่ายตามงบประมาณ '!E291+'[2]สรุปรายจ่ายตามงบประมาณ '!E296</f>
        <v>225983.9</v>
      </c>
      <c r="D184" s="123" t="s">
        <v>179</v>
      </c>
      <c r="E184" s="120">
        <f>B184-C184</f>
        <v>94016.1</v>
      </c>
    </row>
    <row r="185" spans="1:5" ht="18.75">
      <c r="A185" s="126" t="s">
        <v>222</v>
      </c>
      <c r="B185" s="120">
        <f>'[2]สรุปรายจ่ายตามงบประมาณ '!D259</f>
        <v>20000</v>
      </c>
      <c r="C185" s="120">
        <f>'[2]สรุปรายจ่ายตามงบประมาณ '!E259</f>
        <v>0</v>
      </c>
      <c r="D185" s="123" t="s">
        <v>179</v>
      </c>
      <c r="E185" s="120">
        <f>B185-C185</f>
        <v>20000</v>
      </c>
    </row>
    <row r="186" spans="1:5" ht="18.75">
      <c r="A186" s="126" t="s">
        <v>223</v>
      </c>
      <c r="B186" s="120">
        <f>'[2]สรุปรายจ่ายตามงบประมาณ '!D263+'[2]สรุปรายจ่ายตามงบประมาณ '!D268+'[2]สรุปรายจ่ายตามงบประมาณ '!D275+'[2]สรุปรายจ่ายตามงบประมาณ '!D285+'[2]สรุปรายจ่ายตามงบประมาณ '!D293+'[2]สรุปรายจ่ายตามงบประมาณ '!D297</f>
        <v>110000</v>
      </c>
      <c r="C186" s="120">
        <f>'[2]สรุปรายจ่ายตามงบประมาณ '!E263+'[2]สรุปรายจ่ายตามงบประมาณ '!E268+'[2]สรุปรายจ่ายตามงบประมาณ '!E275+'[2]สรุปรายจ่ายตามงบประมาณ '!E285+'[2]สรุปรายจ่ายตามงบประมาณ '!E293+'[2]สรุปรายจ่ายตามงบประมาณ '!E297</f>
        <v>109950</v>
      </c>
      <c r="D186" s="123" t="s">
        <v>179</v>
      </c>
      <c r="E186" s="120">
        <f>B186-C186</f>
        <v>50</v>
      </c>
    </row>
    <row r="187" spans="1:5" ht="18.75">
      <c r="A187" s="126" t="s">
        <v>224</v>
      </c>
      <c r="B187" s="120">
        <f>'[2]สรุปรายจ่ายตามงบประมาณ '!D262+'[2]สรุปรายจ่ายตามงบประมาณ '!D274</f>
        <v>20000</v>
      </c>
      <c r="C187" s="120">
        <f>'[2]สรุปรายจ่ายตามงบประมาณ '!E262+'[2]สรุปรายจ่ายตามงบประมาณ '!E274</f>
        <v>0</v>
      </c>
      <c r="D187" s="123" t="s">
        <v>179</v>
      </c>
      <c r="E187" s="120">
        <f>B187-C187</f>
        <v>20000</v>
      </c>
    </row>
    <row r="188" spans="1:5" ht="18.75">
      <c r="A188" s="126" t="s">
        <v>225</v>
      </c>
      <c r="B188" s="120">
        <f>'[2]สรุปรายจ่ายตามงบประมาณ '!D261+'[2]สรุปรายจ่ายตามงบประมาณ '!D273</f>
        <v>270000</v>
      </c>
      <c r="C188" s="120">
        <f>'[2]สรุปรายจ่ายตามงบประมาณ '!E261+'[2]สรุปรายจ่ายตามงบประมาณ '!E273</f>
        <v>193267.8</v>
      </c>
      <c r="D188" s="123" t="s">
        <v>179</v>
      </c>
      <c r="E188" s="120">
        <f>B188-C188</f>
        <v>76732.20000000001</v>
      </c>
    </row>
    <row r="189" spans="1:5" ht="18.75">
      <c r="A189" s="126" t="s">
        <v>226</v>
      </c>
      <c r="B189" s="120">
        <f>'[2]สรุปรายจ่ายตามงบประมาณ '!D287</f>
        <v>911000</v>
      </c>
      <c r="C189" s="120">
        <f>'[2]สรุปรายจ่ายตามงบประมาณ '!E289</f>
        <v>804553.36</v>
      </c>
      <c r="D189" s="123" t="s">
        <v>179</v>
      </c>
      <c r="E189" s="120">
        <f aca="true" t="shared" si="7" ref="E189:E211">B189-C189</f>
        <v>106446.64000000001</v>
      </c>
    </row>
    <row r="190" spans="1:5" ht="18.75">
      <c r="A190" s="126" t="s">
        <v>227</v>
      </c>
      <c r="B190" s="120">
        <f>'[2]สรุปรายจ่ายตามงบประมาณ '!D260+'[2]สรุปรายจ่ายตามงบประมาณ '!D272</f>
        <v>80000</v>
      </c>
      <c r="C190" s="120">
        <f>'[2]สรุปรายจ่ายตามงบประมาณ '!E272+'[2]สรุปรายจ่ายตามงบประมาณ '!E260</f>
        <v>63000</v>
      </c>
      <c r="D190" s="123" t="s">
        <v>179</v>
      </c>
      <c r="E190" s="120">
        <f t="shared" si="7"/>
        <v>17000</v>
      </c>
    </row>
    <row r="191" spans="1:5" ht="18.75">
      <c r="A191" s="126" t="s">
        <v>228</v>
      </c>
      <c r="B191" s="120">
        <f>'[2]สรุปรายจ่ายตามงบประมาณ '!D278+'[2]สรุปรายจ่ายตามงบประมาณ '!D283</f>
        <v>65000</v>
      </c>
      <c r="C191" s="120">
        <f>'[2]สรุปรายจ่ายตามงบประมาณ '!E278+'[2]สรุปรายจ่ายตามงบประมาณ '!E283</f>
        <v>41788.85</v>
      </c>
      <c r="D191" s="123" t="s">
        <v>179</v>
      </c>
      <c r="E191" s="120">
        <f>B191-C191</f>
        <v>23211.15</v>
      </c>
    </row>
    <row r="192" spans="1:5" ht="18.75">
      <c r="A192" s="126" t="s">
        <v>229</v>
      </c>
      <c r="B192" s="120">
        <f>'[2]สรุปรายจ่ายตามงบประมาณ '!D271+'[2]สรุปรายจ่ายตามงบประมาณ '!D279</f>
        <v>50000</v>
      </c>
      <c r="C192" s="120">
        <f>'[2]สรุปรายจ่ายตามงบประมาณ '!E271+'[2]สรุปรายจ่ายตามงบประมาณ '!E279</f>
        <v>19100</v>
      </c>
      <c r="D192" s="123" t="s">
        <v>179</v>
      </c>
      <c r="E192" s="120">
        <f t="shared" si="7"/>
        <v>30900</v>
      </c>
    </row>
    <row r="193" spans="1:5" ht="18.75">
      <c r="A193" s="126" t="s">
        <v>230</v>
      </c>
      <c r="B193" s="120">
        <f>'[2]สรุปรายจ่ายตามงบประมาณ '!D292</f>
        <v>51640</v>
      </c>
      <c r="C193" s="120">
        <f>'[2]สรุปรายจ่ายตามงบประมาณ '!E292</f>
        <v>40300</v>
      </c>
      <c r="D193" s="123" t="s">
        <v>179</v>
      </c>
      <c r="E193" s="120">
        <f t="shared" si="7"/>
        <v>11340</v>
      </c>
    </row>
    <row r="194" spans="1:5" ht="18.75">
      <c r="A194" s="126" t="s">
        <v>470</v>
      </c>
      <c r="B194" s="120">
        <f>'[2]สรุปรายจ่ายตามงบประมาณ '!D284</f>
        <v>0</v>
      </c>
      <c r="C194" s="120">
        <f>'[2]สรุปรายจ่ายตามงบประมาณ '!E284</f>
        <v>0</v>
      </c>
      <c r="D194" s="123"/>
      <c r="E194" s="120">
        <f>B194-C194</f>
        <v>0</v>
      </c>
    </row>
    <row r="195" spans="1:5" ht="18.75">
      <c r="A195" s="126" t="s">
        <v>471</v>
      </c>
      <c r="B195" s="120">
        <f>'[2]สรุปรายจ่ายตามงบประมาณ '!D300</f>
        <v>9000</v>
      </c>
      <c r="C195" s="120">
        <f>'[2]สรุปรายจ่ายตามงบประมาณ '!E300</f>
        <v>0</v>
      </c>
      <c r="D195" s="123"/>
      <c r="E195" s="120">
        <f>B195-C195</f>
        <v>9000</v>
      </c>
    </row>
    <row r="196" spans="1:5" ht="18.75">
      <c r="A196" s="126" t="s">
        <v>1061</v>
      </c>
      <c r="B196" s="120">
        <f>'[2]สรุปรายจ่ายตามงบประมาณ '!D265</f>
        <v>30600</v>
      </c>
      <c r="C196" s="120">
        <f>'[2]สรุปรายจ่ายตามงบประมาณ '!E265</f>
        <v>30600</v>
      </c>
      <c r="D196" s="123"/>
      <c r="E196" s="120">
        <f>B196-C196</f>
        <v>0</v>
      </c>
    </row>
    <row r="197" spans="1:6" ht="18.75">
      <c r="A197" s="465" t="s">
        <v>231</v>
      </c>
      <c r="B197" s="121">
        <f>SUM(B184:B196)</f>
        <v>1937240</v>
      </c>
      <c r="C197" s="121">
        <f>SUM(C184:C196)</f>
        <v>1528543.9100000001</v>
      </c>
      <c r="D197" s="135" t="s">
        <v>179</v>
      </c>
      <c r="E197" s="121">
        <f>B197-C197</f>
        <v>408696.08999999985</v>
      </c>
      <c r="F197" s="480"/>
    </row>
    <row r="198" spans="1:5" ht="18.75">
      <c r="A198" s="463" t="s">
        <v>232</v>
      </c>
      <c r="B198" s="120"/>
      <c r="C198" s="120"/>
      <c r="D198" s="123"/>
      <c r="E198" s="120">
        <f t="shared" si="7"/>
        <v>0</v>
      </c>
    </row>
    <row r="199" spans="1:5" ht="18.75">
      <c r="A199" s="126" t="s">
        <v>233</v>
      </c>
      <c r="B199" s="120">
        <f>'[2]สรุปรายจ่ายตามงบประมาณ '!D305+'[2]สรุปรายจ่ายตามงบประมาณ '!D312</f>
        <v>390280</v>
      </c>
      <c r="C199" s="120">
        <f>'[2]สรุปรายจ่ายตามงบประมาณ '!E305+'[2]สรุปรายจ่ายตามงบประมาณ '!E312</f>
        <v>237516.86000000002</v>
      </c>
      <c r="D199" s="123" t="s">
        <v>179</v>
      </c>
      <c r="E199" s="120">
        <f t="shared" si="7"/>
        <v>152763.13999999998</v>
      </c>
    </row>
    <row r="200" spans="1:5" ht="18.75">
      <c r="A200" s="126" t="s">
        <v>556</v>
      </c>
      <c r="B200" s="120">
        <f>'[2]สรุปรายจ่ายตามงบประมาณ '!D306+'[2]สรุปรายจ่ายตามงบประมาณ '!D313</f>
        <v>40000</v>
      </c>
      <c r="C200" s="120">
        <f>'[2]สรุปรายจ่ายตามงบประมาณ '!E306+'[2]สรุปรายจ่ายตามงบประมาณ '!E313</f>
        <v>13407.130000000001</v>
      </c>
      <c r="D200" s="123" t="s">
        <v>179</v>
      </c>
      <c r="E200" s="120">
        <f t="shared" si="7"/>
        <v>26592.87</v>
      </c>
    </row>
    <row r="201" spans="1:5" ht="18.75">
      <c r="A201" s="126" t="s">
        <v>234</v>
      </c>
      <c r="B201" s="120">
        <f>'[2]สรุปรายจ่ายตามงบประมาณ '!D307</f>
        <v>15000</v>
      </c>
      <c r="C201" s="120">
        <f>'[2]สรุปรายจ่ายตามงบประมาณ '!E307</f>
        <v>2781.47</v>
      </c>
      <c r="D201" s="123" t="s">
        <v>179</v>
      </c>
      <c r="E201" s="120">
        <f t="shared" si="7"/>
        <v>12218.53</v>
      </c>
    </row>
    <row r="202" spans="1:5" ht="18.75">
      <c r="A202" s="126" t="s">
        <v>235</v>
      </c>
      <c r="B202" s="120">
        <f>'[2]สรุปรายจ่ายตามงบประมาณ '!D308</f>
        <v>20000</v>
      </c>
      <c r="C202" s="120">
        <f>'[2]สรุปรายจ่ายตามงบประมาณ '!E308</f>
        <v>7198</v>
      </c>
      <c r="D202" s="123" t="s">
        <v>179</v>
      </c>
      <c r="E202" s="120">
        <f t="shared" si="7"/>
        <v>12802</v>
      </c>
    </row>
    <row r="203" spans="1:5" ht="18.75">
      <c r="A203" s="126" t="s">
        <v>236</v>
      </c>
      <c r="B203" s="120">
        <f>'[2]สรุปรายจ่ายตามงบประมาณ '!D309</f>
        <v>105000</v>
      </c>
      <c r="C203" s="120">
        <f>'[2]สรุปรายจ่ายตามงบประมาณ '!E309</f>
        <v>101930.4</v>
      </c>
      <c r="D203" s="123" t="s">
        <v>179</v>
      </c>
      <c r="E203" s="120">
        <f t="shared" si="7"/>
        <v>3069.600000000006</v>
      </c>
    </row>
    <row r="204" spans="1:6" ht="18.75">
      <c r="A204" s="465" t="s">
        <v>237</v>
      </c>
      <c r="B204" s="121">
        <f>SUM(B199:B203)</f>
        <v>570280</v>
      </c>
      <c r="C204" s="121">
        <f>SUM(C199:C203)</f>
        <v>362833.86</v>
      </c>
      <c r="D204" s="123" t="s">
        <v>179</v>
      </c>
      <c r="E204" s="121">
        <f t="shared" si="7"/>
        <v>207446.14</v>
      </c>
      <c r="F204" s="480"/>
    </row>
    <row r="205" spans="1:5" ht="18.75">
      <c r="A205" s="463" t="s">
        <v>238</v>
      </c>
      <c r="B205" s="120"/>
      <c r="C205" s="120"/>
      <c r="D205" s="123"/>
      <c r="E205" s="120">
        <f t="shared" si="7"/>
        <v>0</v>
      </c>
    </row>
    <row r="206" spans="1:5" ht="18.75">
      <c r="A206" s="126" t="s">
        <v>472</v>
      </c>
      <c r="B206" s="120">
        <f>'[2]สรุปรายจ่ายตามงบประมาณ '!D323</f>
        <v>32000</v>
      </c>
      <c r="C206" s="120">
        <f>'[2]สรุปรายจ่ายตามงบประมาณ '!E323</f>
        <v>0</v>
      </c>
      <c r="D206" s="123" t="s">
        <v>179</v>
      </c>
      <c r="E206" s="120">
        <f t="shared" si="7"/>
        <v>32000</v>
      </c>
    </row>
    <row r="207" spans="1:5" ht="18.75">
      <c r="A207" s="126" t="s">
        <v>516</v>
      </c>
      <c r="B207" s="120">
        <f>'[2]สรุปรายจ่ายตามงบประมาณ '!D341</f>
        <v>0</v>
      </c>
      <c r="C207" s="120">
        <f>'[2]สรุปรายจ่ายตามงบประมาณ '!E341</f>
        <v>0</v>
      </c>
      <c r="D207" s="123" t="s">
        <v>179</v>
      </c>
      <c r="E207" s="120">
        <f t="shared" si="7"/>
        <v>0</v>
      </c>
    </row>
    <row r="208" spans="1:5" ht="20.25">
      <c r="A208" s="477" t="s">
        <v>1063</v>
      </c>
      <c r="B208" s="120">
        <f>'[2]สรุปรายจ่ายตามงบประมาณ '!D344</f>
        <v>340000</v>
      </c>
      <c r="C208" s="120">
        <f>'[2]สรุปรายจ่ายตามงบประมาณ '!E344</f>
        <v>340000</v>
      </c>
      <c r="D208" s="123" t="s">
        <v>179</v>
      </c>
      <c r="E208" s="120">
        <f>B208-C208</f>
        <v>0</v>
      </c>
    </row>
    <row r="209" spans="1:5" ht="18.75">
      <c r="A209" s="126" t="s">
        <v>473</v>
      </c>
      <c r="B209" s="120">
        <f>'[2]สรุปรายจ่ายตามงบประมาณ '!D327+'[2]สรุปรายจ่ายตามงบประมาณ '!D328</f>
        <v>666000</v>
      </c>
      <c r="C209" s="120">
        <f>'[2]สรุปรายจ่ายตามงบประมาณ '!E327+'[2]สรุปรายจ่ายตามงบประมาณ '!E328</f>
        <v>632000</v>
      </c>
      <c r="D209" s="123" t="s">
        <v>179</v>
      </c>
      <c r="E209" s="120">
        <f t="shared" si="7"/>
        <v>34000</v>
      </c>
    </row>
    <row r="210" spans="1:5" ht="18.75">
      <c r="A210" s="126" t="s">
        <v>474</v>
      </c>
      <c r="B210" s="120">
        <f>'[2]สรุปรายจ่ายตามงบประมาณ '!D330+'[2]สรุปรายจ่ายตามงบประมาณ '!D331</f>
        <v>241000</v>
      </c>
      <c r="C210" s="120">
        <f>'[2]สรุปรายจ่ายตามงบประมาณ '!E330+'[2]สรุปรายจ่ายตามงบประมาณ '!E331</f>
        <v>212000</v>
      </c>
      <c r="D210" s="123" t="s">
        <v>179</v>
      </c>
      <c r="E210" s="120">
        <f t="shared" si="7"/>
        <v>29000</v>
      </c>
    </row>
    <row r="211" spans="1:5" ht="18.75">
      <c r="A211" s="126" t="s">
        <v>475</v>
      </c>
      <c r="B211" s="120">
        <f>'[2]สรุปรายจ่ายตามงบประมาณ '!D333+'[2]สรุปรายจ่ายตามงบประมาณ '!D334</f>
        <v>382000</v>
      </c>
      <c r="C211" s="120">
        <f>'[2]สรุปรายจ่ายตามงบประมาณ '!E333+'[2]สรุปรายจ่ายตามงบประมาณ '!E334</f>
        <v>345000</v>
      </c>
      <c r="D211" s="123" t="s">
        <v>179</v>
      </c>
      <c r="E211" s="120">
        <f t="shared" si="7"/>
        <v>37000</v>
      </c>
    </row>
    <row r="212" spans="1:5" ht="18.75">
      <c r="A212" s="126" t="s">
        <v>476</v>
      </c>
      <c r="B212" s="120">
        <f>'[2]สรุปรายจ่ายตามงบประมาณ '!D336+'[2]สรุปรายจ่ายตามงบประมาณ '!D337</f>
        <v>321000</v>
      </c>
      <c r="C212" s="120">
        <f>'[2]สรุปรายจ่ายตามงบประมาณ '!E336+'[2]สรุปรายจ่ายตามงบประมาณ '!E337</f>
        <v>307000</v>
      </c>
      <c r="D212" s="123" t="s">
        <v>179</v>
      </c>
      <c r="E212" s="120">
        <f>B212-C212</f>
        <v>14000</v>
      </c>
    </row>
    <row r="213" spans="1:5" ht="18.75">
      <c r="A213" s="126" t="s">
        <v>477</v>
      </c>
      <c r="B213" s="120">
        <f>'[2]สรุปรายจ่ายตามงบประมาณ '!D339</f>
        <v>25000</v>
      </c>
      <c r="C213" s="120">
        <f>'[2]สรุปรายจ่ายตามงบประมาณ '!E339</f>
        <v>0</v>
      </c>
      <c r="D213" s="123"/>
      <c r="E213" s="120">
        <f>B213-C213</f>
        <v>25000</v>
      </c>
    </row>
    <row r="214" spans="1:6" ht="18.75">
      <c r="A214" s="465" t="s">
        <v>239</v>
      </c>
      <c r="B214" s="121">
        <f>SUM(B206:B213)</f>
        <v>2007000</v>
      </c>
      <c r="C214" s="121">
        <f>SUM(C206:C213)</f>
        <v>1836000</v>
      </c>
      <c r="D214" s="123" t="s">
        <v>179</v>
      </c>
      <c r="E214" s="121">
        <f>B214-C214</f>
        <v>171000</v>
      </c>
      <c r="F214" s="480"/>
    </row>
    <row r="215" spans="1:5" ht="18.75">
      <c r="A215" s="720" t="s">
        <v>64</v>
      </c>
      <c r="B215" s="473" t="s">
        <v>106</v>
      </c>
      <c r="C215" s="135" t="s">
        <v>201</v>
      </c>
      <c r="D215" s="135" t="s">
        <v>177</v>
      </c>
      <c r="E215" s="721" t="s">
        <v>178</v>
      </c>
    </row>
    <row r="216" spans="1:5" ht="18.75">
      <c r="A216" s="720"/>
      <c r="B216" s="474" t="s">
        <v>114</v>
      </c>
      <c r="C216" s="135"/>
      <c r="D216" s="135" t="s">
        <v>179</v>
      </c>
      <c r="E216" s="722"/>
    </row>
    <row r="217" spans="1:5" ht="18.75">
      <c r="A217" s="478" t="s">
        <v>240</v>
      </c>
      <c r="B217" s="121"/>
      <c r="C217" s="121"/>
      <c r="D217" s="123"/>
      <c r="E217" s="121"/>
    </row>
    <row r="218" spans="1:5" ht="18.75">
      <c r="A218" s="479" t="s">
        <v>557</v>
      </c>
      <c r="B218" s="121">
        <v>35000</v>
      </c>
      <c r="C218" s="120">
        <v>27000</v>
      </c>
      <c r="D218" s="123"/>
      <c r="E218" s="121">
        <f>B218-C218</f>
        <v>8000</v>
      </c>
    </row>
    <row r="219" spans="1:6" ht="18.75">
      <c r="A219" s="465" t="s">
        <v>241</v>
      </c>
      <c r="B219" s="121">
        <f>B218</f>
        <v>35000</v>
      </c>
      <c r="C219" s="121">
        <f>C218</f>
        <v>27000</v>
      </c>
      <c r="D219" s="123"/>
      <c r="E219" s="121">
        <f>B219-C219</f>
        <v>8000</v>
      </c>
      <c r="F219" s="480"/>
    </row>
    <row r="220" spans="1:5" ht="18.75">
      <c r="A220" s="479"/>
      <c r="B220" s="121"/>
      <c r="C220" s="121"/>
      <c r="D220" s="123"/>
      <c r="E220" s="121"/>
    </row>
    <row r="221" spans="1:5" ht="18.75">
      <c r="A221" s="463" t="s">
        <v>242</v>
      </c>
      <c r="B221" s="120"/>
      <c r="C221" s="120"/>
      <c r="D221" s="123"/>
      <c r="E221" s="120"/>
    </row>
    <row r="222" spans="1:5" ht="18.75">
      <c r="A222" s="463" t="s">
        <v>1064</v>
      </c>
      <c r="B222" s="120"/>
      <c r="C222" s="120"/>
      <c r="D222" s="123"/>
      <c r="E222" s="120"/>
    </row>
    <row r="223" spans="1:5" ht="18.75">
      <c r="A223" s="126" t="s">
        <v>243</v>
      </c>
      <c r="B223" s="120">
        <f>'[2]สรุปรายจ่ายตามงบประมาณ '!D356+'[2]สรุปรายจ่ายตามงบประมาณ '!D362+'[2]สรุปรายจ่ายตามงบประมาณ '!D366+'[2]สรุปรายจ่ายตามงบประมาณ '!D371</f>
        <v>195000</v>
      </c>
      <c r="C223" s="120">
        <f>'[2]สรุปรายจ่ายตามงบประมาณ '!E356+'[2]สรุปรายจ่ายตามงบประมาณ '!E362+'[2]สรุปรายจ่ายตามงบประมาณ '!E366+'[2]สรุปรายจ่ายตามงบประมาณ '!E371</f>
        <v>181600</v>
      </c>
      <c r="D223" s="123" t="s">
        <v>179</v>
      </c>
      <c r="E223" s="120">
        <f>B223-C223</f>
        <v>13400</v>
      </c>
    </row>
    <row r="224" spans="1:5" ht="18.75">
      <c r="A224" s="126" t="s">
        <v>1065</v>
      </c>
      <c r="B224" s="120">
        <f>'[2]สรุปรายจ่ายตามงบประมาณ '!D375</f>
        <v>15600</v>
      </c>
      <c r="C224" s="120">
        <f>'[2]สรุปรายจ่ายตามงบประมาณ '!E375</f>
        <v>14800</v>
      </c>
      <c r="D224" s="123" t="s">
        <v>179</v>
      </c>
      <c r="E224" s="120">
        <f>B224-C224</f>
        <v>800</v>
      </c>
    </row>
    <row r="225" spans="1:5" ht="18.75">
      <c r="A225" s="126" t="s">
        <v>558</v>
      </c>
      <c r="B225" s="120">
        <f>'[2]สรุปรายจ่ายตามงบประมาณ '!D378</f>
        <v>40000</v>
      </c>
      <c r="C225" s="120">
        <f>'[2]สรุปรายจ่ายตามงบประมาณ '!E378</f>
        <v>0</v>
      </c>
      <c r="D225" s="123" t="s">
        <v>179</v>
      </c>
      <c r="E225" s="120">
        <f>B225-C225</f>
        <v>40000</v>
      </c>
    </row>
    <row r="226" spans="1:5" ht="18.75">
      <c r="A226" s="126" t="s">
        <v>559</v>
      </c>
      <c r="B226" s="120">
        <f>'[2]สรุปรายจ่ายตามงบประมาณ '!D387</f>
        <v>81200</v>
      </c>
      <c r="C226" s="120">
        <f>'[2]สรุปรายจ่ายตามงบประมาณ '!E387</f>
        <v>75960</v>
      </c>
      <c r="D226" s="123" t="s">
        <v>179</v>
      </c>
      <c r="E226" s="120">
        <f>B226-C226</f>
        <v>5240</v>
      </c>
    </row>
    <row r="227" spans="1:5" ht="18.75">
      <c r="A227" s="126" t="s">
        <v>709</v>
      </c>
      <c r="B227" s="120">
        <f>'[2]สรุปรายจ่ายตามงบประมาณ '!D381+'[2]สรุปรายจ่ายตามงบประมาณ '!D384</f>
        <v>80000</v>
      </c>
      <c r="C227" s="120">
        <f>'[2]สรุปรายจ่ายตามงบประมาณ '!E381+'[2]สรุปรายจ่ายตามงบประมาณ '!E384</f>
        <v>43900</v>
      </c>
      <c r="D227" s="123" t="s">
        <v>179</v>
      </c>
      <c r="E227" s="120">
        <f>B227-C227</f>
        <v>36100</v>
      </c>
    </row>
    <row r="228" spans="1:6" ht="18.75">
      <c r="A228" s="465" t="s">
        <v>244</v>
      </c>
      <c r="B228" s="121">
        <f>SUM(B223:B227)</f>
        <v>411800</v>
      </c>
      <c r="C228" s="121">
        <f>SUM(C223:C227)</f>
        <v>316260</v>
      </c>
      <c r="D228" s="123" t="s">
        <v>179</v>
      </c>
      <c r="E228" s="121">
        <f>SUM(E223:E226)</f>
        <v>59440</v>
      </c>
      <c r="F228" s="480"/>
    </row>
    <row r="229" spans="1:5" ht="18.75">
      <c r="A229" s="465"/>
      <c r="B229" s="121"/>
      <c r="C229" s="121"/>
      <c r="D229" s="123"/>
      <c r="E229" s="121"/>
    </row>
    <row r="230" spans="1:5" ht="18.75">
      <c r="A230" s="463" t="s">
        <v>245</v>
      </c>
      <c r="B230" s="121"/>
      <c r="C230" s="121"/>
      <c r="D230" s="123"/>
      <c r="E230" s="121"/>
    </row>
    <row r="231" spans="1:5" ht="18.75">
      <c r="A231" s="126" t="s">
        <v>710</v>
      </c>
      <c r="B231" s="120">
        <v>0</v>
      </c>
      <c r="C231" s="120">
        <f>'[2]สรุปรายจ่ายตามงบประมาณ '!E390</f>
        <v>0</v>
      </c>
      <c r="D231" s="123" t="s">
        <v>179</v>
      </c>
      <c r="E231" s="120">
        <f aca="true" t="shared" si="8" ref="E231:E236">B231-C231</f>
        <v>0</v>
      </c>
    </row>
    <row r="232" spans="1:5" ht="18.75">
      <c r="A232" s="126" t="s">
        <v>711</v>
      </c>
      <c r="B232" s="120">
        <v>0</v>
      </c>
      <c r="C232" s="120">
        <v>0</v>
      </c>
      <c r="D232" s="123"/>
      <c r="E232" s="120">
        <f t="shared" si="8"/>
        <v>0</v>
      </c>
    </row>
    <row r="233" spans="1:5" ht="18.75">
      <c r="A233" s="126" t="s">
        <v>560</v>
      </c>
      <c r="B233" s="120">
        <f>'[2]สรุปรายจ่ายตามงบประมาณ '!D416+'[2]สรุปรายจ่ายตามงบประมาณ '!D419</f>
        <v>4820000</v>
      </c>
      <c r="C233" s="120">
        <f>'[2]สรุปรายจ่ายตามงบประมาณ '!E416+'[2]สรุปรายจ่ายตามงบประมาณ '!E419</f>
        <v>2535700</v>
      </c>
      <c r="D233" s="123" t="s">
        <v>179</v>
      </c>
      <c r="E233" s="120">
        <f t="shared" si="8"/>
        <v>2284300</v>
      </c>
    </row>
    <row r="234" spans="1:5" ht="18.75">
      <c r="A234" s="126" t="s">
        <v>712</v>
      </c>
      <c r="B234" s="120">
        <v>0</v>
      </c>
      <c r="C234" s="120">
        <v>0</v>
      </c>
      <c r="D234" s="123"/>
      <c r="E234" s="120">
        <f t="shared" si="8"/>
        <v>0</v>
      </c>
    </row>
    <row r="235" spans="1:6" ht="18.75">
      <c r="A235" s="465" t="s">
        <v>246</v>
      </c>
      <c r="B235" s="121">
        <f>SUM(B231:B234)</f>
        <v>4820000</v>
      </c>
      <c r="C235" s="121">
        <f>SUM(C233:C234)</f>
        <v>2535700</v>
      </c>
      <c r="D235" s="123" t="s">
        <v>179</v>
      </c>
      <c r="E235" s="121">
        <f t="shared" si="8"/>
        <v>2284300</v>
      </c>
      <c r="F235" s="480"/>
    </row>
    <row r="236" spans="1:6" ht="18.75">
      <c r="A236" s="465" t="s">
        <v>247</v>
      </c>
      <c r="B236" s="121">
        <f>B101+B109+B117+B126+B181+B197+B204+B214+B219+B228+B235</f>
        <v>46535000</v>
      </c>
      <c r="C236" s="121">
        <f>C101+C109+C117+C126+C181+C197+C204+C214+C219+C228+C235</f>
        <v>36049015.769999996</v>
      </c>
      <c r="D236" s="123" t="s">
        <v>179</v>
      </c>
      <c r="E236" s="121">
        <f t="shared" si="8"/>
        <v>10485984.230000004</v>
      </c>
      <c r="F236" s="480"/>
    </row>
    <row r="237" spans="1:6" ht="18.75">
      <c r="A237" s="465" t="s">
        <v>248</v>
      </c>
      <c r="B237" s="121"/>
      <c r="C237" s="121">
        <f>C62-C236</f>
        <v>6920237.579999998</v>
      </c>
      <c r="D237" s="123"/>
      <c r="E237" s="121"/>
      <c r="F237" s="480"/>
    </row>
    <row r="260" spans="1:2" ht="18.75">
      <c r="A260" s="126" t="s">
        <v>216</v>
      </c>
      <c r="B260" s="136">
        <f>500000+250000+320000+10000+60000+60000+36000+100000+470000+30000+9000</f>
        <v>1845000</v>
      </c>
    </row>
    <row r="261" spans="1:2" ht="18.75">
      <c r="A261" s="126" t="s">
        <v>217</v>
      </c>
      <c r="B261" s="136">
        <f>70000+10000+10000+10000</f>
        <v>100000</v>
      </c>
    </row>
    <row r="262" spans="1:2" ht="18.75">
      <c r="A262" s="124" t="s">
        <v>551</v>
      </c>
      <c r="B262" s="136">
        <f>100000+40000+20000+30000+10000+20000+40000+10000</f>
        <v>270000</v>
      </c>
    </row>
    <row r="263" spans="1:2" ht="18.75">
      <c r="A263" s="124" t="s">
        <v>553</v>
      </c>
      <c r="B263" s="136">
        <f>140000+20000+10000+200000+10000+10000+150000+30000+10000+10000+10000</f>
        <v>600000</v>
      </c>
    </row>
  </sheetData>
  <sheetProtection/>
  <mergeCells count="17">
    <mergeCell ref="E129:E130"/>
    <mergeCell ref="A2:E2"/>
    <mergeCell ref="A3:E3"/>
    <mergeCell ref="A4:E4"/>
    <mergeCell ref="A5:A6"/>
    <mergeCell ref="C5:C6"/>
    <mergeCell ref="E5:E6"/>
    <mergeCell ref="A172:A173"/>
    <mergeCell ref="E172:E173"/>
    <mergeCell ref="A215:A216"/>
    <mergeCell ref="E215:E216"/>
    <mergeCell ref="A44:A45"/>
    <mergeCell ref="C44:C45"/>
    <mergeCell ref="E44:E45"/>
    <mergeCell ref="E90:E91"/>
    <mergeCell ref="A90:A91"/>
    <mergeCell ref="A129:A130"/>
  </mergeCells>
  <printOptions horizontalCentered="1"/>
  <pageMargins left="0.11811023622047245" right="0" top="0.2755905511811024" bottom="0" header="0.2362204724409449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C469"/>
  <sheetViews>
    <sheetView zoomScale="110" zoomScaleNormal="110" zoomScalePageLayoutView="0" workbookViewId="0" topLeftCell="A1">
      <selection activeCell="K18" sqref="K18"/>
    </sheetView>
  </sheetViews>
  <sheetFormatPr defaultColWidth="42.57421875" defaultRowHeight="15"/>
  <cols>
    <col min="1" max="1" width="48.7109375" style="572" customWidth="1"/>
    <col min="2" max="2" width="10.57421875" style="572" customWidth="1"/>
    <col min="3" max="3" width="37.28125" style="572" customWidth="1"/>
    <col min="4" max="4" width="13.421875" style="250" customWidth="1"/>
    <col min="5" max="5" width="12.7109375" style="572" customWidth="1"/>
    <col min="6" max="6" width="11.8515625" style="572" customWidth="1"/>
    <col min="7" max="7" width="9.421875" style="250" customWidth="1"/>
    <col min="8" max="8" width="9.00390625" style="250" customWidth="1"/>
    <col min="9" max="9" width="8.8515625" style="250" customWidth="1"/>
    <col min="10" max="10" width="9.140625" style="250" customWidth="1"/>
    <col min="11" max="11" width="8.8515625" style="250" customWidth="1"/>
    <col min="12" max="12" width="9.7109375" style="250" customWidth="1"/>
    <col min="13" max="13" width="9.140625" style="250" customWidth="1"/>
    <col min="14" max="15" width="9.421875" style="250" customWidth="1"/>
    <col min="16" max="16" width="9.8515625" style="250" customWidth="1"/>
    <col min="17" max="17" width="8.7109375" style="250" customWidth="1"/>
    <col min="18" max="18" width="8.57421875" style="250" customWidth="1"/>
    <col min="19" max="19" width="10.57421875" style="250" customWidth="1"/>
    <col min="20" max="16384" width="42.57421875" style="572" customWidth="1"/>
  </cols>
  <sheetData>
    <row r="1" spans="1:6" ht="20.25">
      <c r="A1" s="724" t="s">
        <v>360</v>
      </c>
      <c r="B1" s="725"/>
      <c r="C1" s="725"/>
      <c r="D1" s="725"/>
      <c r="E1" s="725"/>
      <c r="F1" s="725"/>
    </row>
    <row r="2" spans="1:7" ht="20.25">
      <c r="A2" s="724" t="s">
        <v>288</v>
      </c>
      <c r="B2" s="725"/>
      <c r="C2" s="725"/>
      <c r="D2" s="725"/>
      <c r="E2" s="725"/>
      <c r="F2" s="725"/>
      <c r="G2" s="250" t="s">
        <v>289</v>
      </c>
    </row>
    <row r="3" spans="1:6" ht="20.25">
      <c r="A3" s="726" t="s">
        <v>750</v>
      </c>
      <c r="B3" s="727"/>
      <c r="C3" s="727"/>
      <c r="D3" s="727"/>
      <c r="E3" s="727"/>
      <c r="F3" s="727"/>
    </row>
    <row r="4" spans="1:19" ht="15.75" customHeight="1">
      <c r="A4" s="482" t="s">
        <v>64</v>
      </c>
      <c r="B4" s="482" t="s">
        <v>290</v>
      </c>
      <c r="C4" s="482" t="s">
        <v>76</v>
      </c>
      <c r="D4" s="483" t="s">
        <v>106</v>
      </c>
      <c r="E4" s="482" t="s">
        <v>201</v>
      </c>
      <c r="F4" s="482" t="s">
        <v>291</v>
      </c>
      <c r="G4" s="250" t="s">
        <v>292</v>
      </c>
      <c r="H4" s="250" t="s">
        <v>293</v>
      </c>
      <c r="I4" s="250" t="s">
        <v>294</v>
      </c>
      <c r="J4" s="250" t="s">
        <v>295</v>
      </c>
      <c r="K4" s="250" t="s">
        <v>296</v>
      </c>
      <c r="L4" s="250" t="s">
        <v>297</v>
      </c>
      <c r="M4" s="250" t="s">
        <v>298</v>
      </c>
      <c r="N4" s="250" t="s">
        <v>299</v>
      </c>
      <c r="O4" s="250" t="s">
        <v>300</v>
      </c>
      <c r="P4" s="250" t="s">
        <v>301</v>
      </c>
      <c r="Q4" s="250" t="s">
        <v>302</v>
      </c>
      <c r="R4" s="250" t="s">
        <v>303</v>
      </c>
      <c r="S4" s="250" t="s">
        <v>60</v>
      </c>
    </row>
    <row r="5" spans="1:6" ht="15" customHeight="1">
      <c r="A5" s="484"/>
      <c r="B5" s="484"/>
      <c r="C5" s="484"/>
      <c r="D5" s="485"/>
      <c r="E5" s="484" t="s">
        <v>304</v>
      </c>
      <c r="F5" s="484"/>
    </row>
    <row r="6" spans="1:6" ht="20.25">
      <c r="A6" s="486" t="s">
        <v>305</v>
      </c>
      <c r="B6" s="487"/>
      <c r="C6" s="487"/>
      <c r="D6" s="209"/>
      <c r="E6" s="210"/>
      <c r="F6" s="210"/>
    </row>
    <row r="7" spans="1:6" ht="20.25">
      <c r="A7" s="211" t="s">
        <v>564</v>
      </c>
      <c r="B7" s="256" t="s">
        <v>306</v>
      </c>
      <c r="C7" s="488" t="s">
        <v>307</v>
      </c>
      <c r="D7" s="212">
        <v>185770</v>
      </c>
      <c r="E7" s="212">
        <v>148461</v>
      </c>
      <c r="F7" s="213">
        <f aca="true" t="shared" si="0" ref="F7:F12">D7-E7</f>
        <v>37309</v>
      </c>
    </row>
    <row r="8" spans="1:6" ht="20.25">
      <c r="A8" s="211" t="s">
        <v>565</v>
      </c>
      <c r="B8" s="213"/>
      <c r="C8" s="213" t="s">
        <v>308</v>
      </c>
      <c r="D8" s="212">
        <f>10929600+359800</f>
        <v>11289400</v>
      </c>
      <c r="E8" s="212">
        <v>10388200</v>
      </c>
      <c r="F8" s="213">
        <f>D8-E8</f>
        <v>901200</v>
      </c>
    </row>
    <row r="9" spans="1:6" ht="20.25">
      <c r="A9" s="211" t="s">
        <v>566</v>
      </c>
      <c r="B9" s="213"/>
      <c r="C9" s="213" t="s">
        <v>308</v>
      </c>
      <c r="D9" s="212">
        <f>2880000+125000+42000+36000+40000+30000+66200</f>
        <v>3219200</v>
      </c>
      <c r="E9" s="212">
        <v>2787200</v>
      </c>
      <c r="F9" s="213">
        <f t="shared" si="0"/>
        <v>432000</v>
      </c>
    </row>
    <row r="10" spans="1:6" ht="20.25">
      <c r="A10" s="211" t="s">
        <v>567</v>
      </c>
      <c r="B10" s="213"/>
      <c r="C10" s="573" t="s">
        <v>308</v>
      </c>
      <c r="D10" s="212">
        <f>6000+4500</f>
        <v>10500</v>
      </c>
      <c r="E10" s="212">
        <v>10500</v>
      </c>
      <c r="F10" s="213">
        <f t="shared" si="0"/>
        <v>0</v>
      </c>
    </row>
    <row r="11" spans="1:6" ht="20.25">
      <c r="A11" s="211" t="s">
        <v>568</v>
      </c>
      <c r="B11" s="213"/>
      <c r="C11" s="573" t="s">
        <v>308</v>
      </c>
      <c r="D11" s="212">
        <f>900000-500000+300000+200000</f>
        <v>900000</v>
      </c>
      <c r="E11" s="212">
        <f>563326+102200</f>
        <v>665526</v>
      </c>
      <c r="F11" s="213">
        <f t="shared" si="0"/>
        <v>234474</v>
      </c>
    </row>
    <row r="12" spans="1:6" ht="20.25">
      <c r="A12" s="211" t="s">
        <v>751</v>
      </c>
      <c r="B12" s="213"/>
      <c r="C12" s="573" t="s">
        <v>308</v>
      </c>
      <c r="D12" s="212">
        <v>335950</v>
      </c>
      <c r="E12" s="212">
        <v>147442</v>
      </c>
      <c r="F12" s="213">
        <f t="shared" si="0"/>
        <v>188508</v>
      </c>
    </row>
    <row r="13" spans="1:6" ht="20.25">
      <c r="A13" s="211" t="s">
        <v>569</v>
      </c>
      <c r="B13" s="213"/>
      <c r="C13" s="573" t="s">
        <v>308</v>
      </c>
      <c r="D13" s="212">
        <v>193200</v>
      </c>
      <c r="E13" s="212">
        <v>193200</v>
      </c>
      <c r="F13" s="213"/>
    </row>
    <row r="14" spans="1:6" ht="20.25">
      <c r="A14" s="489" t="s">
        <v>873</v>
      </c>
      <c r="B14" s="215"/>
      <c r="C14" s="574" t="s">
        <v>308</v>
      </c>
      <c r="D14" s="475">
        <v>60960</v>
      </c>
      <c r="E14" s="475">
        <v>60960</v>
      </c>
      <c r="F14" s="215"/>
    </row>
    <row r="15" spans="1:19" ht="20.25">
      <c r="A15" s="223" t="s">
        <v>309</v>
      </c>
      <c r="B15" s="223"/>
      <c r="C15" s="223"/>
      <c r="D15" s="490">
        <f>SUM(D7:D14)</f>
        <v>16194980</v>
      </c>
      <c r="E15" s="491">
        <f>SUM(E7:E14)</f>
        <v>14401489</v>
      </c>
      <c r="F15" s="491">
        <f>D15-E15</f>
        <v>1793491</v>
      </c>
      <c r="G15" s="250">
        <f aca="true" t="shared" si="1" ref="G15:S15">SUM(G7:G12)</f>
        <v>0</v>
      </c>
      <c r="H15" s="250">
        <f t="shared" si="1"/>
        <v>0</v>
      </c>
      <c r="I15" s="250">
        <f t="shared" si="1"/>
        <v>0</v>
      </c>
      <c r="J15" s="250">
        <f t="shared" si="1"/>
        <v>0</v>
      </c>
      <c r="K15" s="250">
        <f t="shared" si="1"/>
        <v>0</v>
      </c>
      <c r="L15" s="250">
        <f t="shared" si="1"/>
        <v>0</v>
      </c>
      <c r="M15" s="250">
        <f t="shared" si="1"/>
        <v>0</v>
      </c>
      <c r="N15" s="250">
        <f t="shared" si="1"/>
        <v>0</v>
      </c>
      <c r="O15" s="250">
        <f t="shared" si="1"/>
        <v>0</v>
      </c>
      <c r="P15" s="250">
        <f t="shared" si="1"/>
        <v>0</v>
      </c>
      <c r="Q15" s="250">
        <f t="shared" si="1"/>
        <v>0</v>
      </c>
      <c r="R15" s="250">
        <f t="shared" si="1"/>
        <v>0</v>
      </c>
      <c r="S15" s="250">
        <f t="shared" si="1"/>
        <v>0</v>
      </c>
    </row>
    <row r="16" spans="1:6" ht="20.25">
      <c r="A16" s="492" t="s">
        <v>310</v>
      </c>
      <c r="B16" s="493"/>
      <c r="C16" s="494"/>
      <c r="D16" s="209"/>
      <c r="E16" s="210"/>
      <c r="F16" s="210"/>
    </row>
    <row r="17" spans="1:6" ht="20.25">
      <c r="A17" s="211" t="s">
        <v>570</v>
      </c>
      <c r="B17" s="231" t="s">
        <v>306</v>
      </c>
      <c r="C17" s="495" t="s">
        <v>327</v>
      </c>
      <c r="D17" s="212">
        <f>514080-480000</f>
        <v>34080</v>
      </c>
      <c r="E17" s="212">
        <v>23491</v>
      </c>
      <c r="F17" s="213">
        <f>D17-E17</f>
        <v>10589</v>
      </c>
    </row>
    <row r="18" spans="1:6" ht="20.25">
      <c r="A18" s="211" t="s">
        <v>571</v>
      </c>
      <c r="B18" s="231"/>
      <c r="C18" s="496" t="s">
        <v>311</v>
      </c>
      <c r="D18" s="212">
        <f>42120-30600</f>
        <v>11520</v>
      </c>
      <c r="E18" s="212">
        <v>1923</v>
      </c>
      <c r="F18" s="213">
        <f aca="true" t="shared" si="2" ref="F18:F23">D18-E18</f>
        <v>9597</v>
      </c>
    </row>
    <row r="19" spans="1:6" ht="20.25">
      <c r="A19" s="211" t="s">
        <v>572</v>
      </c>
      <c r="B19" s="231"/>
      <c r="C19" s="496" t="s">
        <v>311</v>
      </c>
      <c r="D19" s="212">
        <f>42120-40000</f>
        <v>2120</v>
      </c>
      <c r="E19" s="212">
        <v>1923</v>
      </c>
      <c r="F19" s="213">
        <f t="shared" si="2"/>
        <v>197</v>
      </c>
    </row>
    <row r="20" spans="1:6" ht="20.25">
      <c r="A20" s="211" t="s">
        <v>573</v>
      </c>
      <c r="B20" s="231"/>
      <c r="C20" s="496" t="s">
        <v>311</v>
      </c>
      <c r="D20" s="212">
        <f>86400-45000-30000</f>
        <v>11400</v>
      </c>
      <c r="E20" s="212">
        <v>3948</v>
      </c>
      <c r="F20" s="213">
        <f t="shared" si="2"/>
        <v>7452</v>
      </c>
    </row>
    <row r="21" spans="1:6" ht="20.25">
      <c r="A21" s="489" t="s">
        <v>312</v>
      </c>
      <c r="B21" s="497"/>
      <c r="C21" s="498" t="s">
        <v>311</v>
      </c>
      <c r="D21" s="475">
        <f>3096000</f>
        <v>3096000</v>
      </c>
      <c r="E21" s="475">
        <v>2836800</v>
      </c>
      <c r="F21" s="215">
        <f t="shared" si="2"/>
        <v>259200</v>
      </c>
    </row>
    <row r="22" spans="1:19" ht="20.25">
      <c r="A22" s="499" t="s">
        <v>60</v>
      </c>
      <c r="B22" s="219"/>
      <c r="C22" s="219"/>
      <c r="D22" s="500">
        <f>SUM(D17:D21)</f>
        <v>3155120</v>
      </c>
      <c r="E22" s="501">
        <f>SUM(E17:E21)</f>
        <v>2868085</v>
      </c>
      <c r="F22" s="216">
        <f t="shared" si="2"/>
        <v>287035</v>
      </c>
      <c r="G22" s="250">
        <f>SUM(G17:G20)</f>
        <v>0</v>
      </c>
      <c r="H22" s="250">
        <f aca="true" t="shared" si="3" ref="H22:S22">SUM(H17:H20)</f>
        <v>0</v>
      </c>
      <c r="I22" s="250">
        <f t="shared" si="3"/>
        <v>0</v>
      </c>
      <c r="J22" s="250">
        <f t="shared" si="3"/>
        <v>0</v>
      </c>
      <c r="K22" s="250">
        <f t="shared" si="3"/>
        <v>0</v>
      </c>
      <c r="L22" s="250">
        <f t="shared" si="3"/>
        <v>0</v>
      </c>
      <c r="M22" s="250">
        <f t="shared" si="3"/>
        <v>0</v>
      </c>
      <c r="N22" s="250">
        <f t="shared" si="3"/>
        <v>0</v>
      </c>
      <c r="O22" s="250">
        <f t="shared" si="3"/>
        <v>0</v>
      </c>
      <c r="P22" s="250">
        <f t="shared" si="3"/>
        <v>0</v>
      </c>
      <c r="Q22" s="250">
        <f t="shared" si="3"/>
        <v>0</v>
      </c>
      <c r="R22" s="250">
        <f t="shared" si="3"/>
        <v>0</v>
      </c>
      <c r="S22" s="250">
        <f t="shared" si="3"/>
        <v>0</v>
      </c>
    </row>
    <row r="23" spans="1:19" ht="20.25">
      <c r="A23" s="223" t="s">
        <v>205</v>
      </c>
      <c r="B23" s="232"/>
      <c r="C23" s="232"/>
      <c r="D23" s="490">
        <f>D22</f>
        <v>3155120</v>
      </c>
      <c r="E23" s="491">
        <f>SUM(E22)</f>
        <v>2868085</v>
      </c>
      <c r="F23" s="224">
        <f t="shared" si="2"/>
        <v>287035</v>
      </c>
      <c r="G23" s="250">
        <f>G22</f>
        <v>0</v>
      </c>
      <c r="H23" s="250">
        <f aca="true" t="shared" si="4" ref="H23:M23">H22</f>
        <v>0</v>
      </c>
      <c r="I23" s="250">
        <f t="shared" si="4"/>
        <v>0</v>
      </c>
      <c r="J23" s="250">
        <f t="shared" si="4"/>
        <v>0</v>
      </c>
      <c r="K23" s="250">
        <f t="shared" si="4"/>
        <v>0</v>
      </c>
      <c r="L23" s="250">
        <f t="shared" si="4"/>
        <v>0</v>
      </c>
      <c r="M23" s="250">
        <f t="shared" si="4"/>
        <v>0</v>
      </c>
      <c r="N23" s="250">
        <f>N22</f>
        <v>0</v>
      </c>
      <c r="O23" s="250">
        <f>O22</f>
        <v>0</v>
      </c>
      <c r="P23" s="250">
        <f>P22</f>
        <v>0</v>
      </c>
      <c r="Q23" s="250">
        <f>Q22</f>
        <v>0</v>
      </c>
      <c r="R23" s="250">
        <f>R22</f>
        <v>0</v>
      </c>
      <c r="S23" s="250">
        <f>SUM(G23:R23)</f>
        <v>0</v>
      </c>
    </row>
    <row r="24" spans="1:6" ht="20.25">
      <c r="A24" s="492" t="s">
        <v>313</v>
      </c>
      <c r="B24" s="502"/>
      <c r="C24" s="502"/>
      <c r="D24" s="209"/>
      <c r="E24" s="210"/>
      <c r="F24" s="210"/>
    </row>
    <row r="25" spans="1:6" ht="20.25">
      <c r="A25" s="211" t="s">
        <v>574</v>
      </c>
      <c r="B25" s="231" t="s">
        <v>306</v>
      </c>
      <c r="C25" s="495" t="s">
        <v>327</v>
      </c>
      <c r="D25" s="212">
        <v>2588700</v>
      </c>
      <c r="E25" s="213">
        <v>2158006</v>
      </c>
      <c r="F25" s="213">
        <f aca="true" t="shared" si="5" ref="F25:F30">D25-E25</f>
        <v>430694</v>
      </c>
    </row>
    <row r="26" spans="1:6" ht="20.25">
      <c r="A26" s="211" t="s">
        <v>575</v>
      </c>
      <c r="B26" s="231"/>
      <c r="C26" s="503" t="s">
        <v>311</v>
      </c>
      <c r="D26" s="212">
        <v>84000</v>
      </c>
      <c r="E26" s="213">
        <v>84000</v>
      </c>
      <c r="F26" s="213">
        <f t="shared" si="5"/>
        <v>0</v>
      </c>
    </row>
    <row r="27" spans="1:6" ht="20.25">
      <c r="A27" s="504" t="s">
        <v>416</v>
      </c>
      <c r="B27" s="237"/>
      <c r="C27" s="503" t="s">
        <v>311</v>
      </c>
      <c r="D27" s="505">
        <v>168000</v>
      </c>
      <c r="E27" s="217">
        <v>126000</v>
      </c>
      <c r="F27" s="217">
        <f t="shared" si="5"/>
        <v>42000</v>
      </c>
    </row>
    <row r="28" spans="1:6" ht="20.25">
      <c r="A28" s="506" t="s">
        <v>435</v>
      </c>
      <c r="B28" s="232"/>
      <c r="C28" s="246"/>
      <c r="D28" s="507">
        <f>SUM(D25:D27)</f>
        <v>2840700</v>
      </c>
      <c r="E28" s="507">
        <f>SUM(E25:E27)</f>
        <v>2368006</v>
      </c>
      <c r="F28" s="224">
        <f>D28-E28</f>
        <v>472694</v>
      </c>
    </row>
    <row r="29" spans="1:6" ht="20.25">
      <c r="A29" s="210" t="s">
        <v>576</v>
      </c>
      <c r="B29" s="502"/>
      <c r="C29" s="508" t="s">
        <v>311</v>
      </c>
      <c r="D29" s="209">
        <v>687120</v>
      </c>
      <c r="E29" s="210">
        <v>623591</v>
      </c>
      <c r="F29" s="210">
        <f t="shared" si="5"/>
        <v>63529</v>
      </c>
    </row>
    <row r="30" spans="1:6" ht="20.25">
      <c r="A30" s="215" t="s">
        <v>577</v>
      </c>
      <c r="B30" s="497"/>
      <c r="C30" s="498" t="s">
        <v>311</v>
      </c>
      <c r="D30" s="475">
        <v>65100</v>
      </c>
      <c r="E30" s="215">
        <f>61730</f>
        <v>61730</v>
      </c>
      <c r="F30" s="215">
        <f t="shared" si="5"/>
        <v>3370</v>
      </c>
    </row>
    <row r="31" spans="1:6" ht="20.25">
      <c r="A31" s="506" t="s">
        <v>436</v>
      </c>
      <c r="B31" s="232"/>
      <c r="C31" s="246"/>
      <c r="D31" s="507">
        <f>SUM(D29:D30)</f>
        <v>752220</v>
      </c>
      <c r="E31" s="507">
        <f>SUM(E29:E30)</f>
        <v>685321</v>
      </c>
      <c r="F31" s="224">
        <f>D31-E31</f>
        <v>66899</v>
      </c>
    </row>
    <row r="32" spans="1:19" ht="20.25">
      <c r="A32" s="352" t="s">
        <v>60</v>
      </c>
      <c r="B32" s="219"/>
      <c r="C32" s="219"/>
      <c r="D32" s="500">
        <f>D28+D31</f>
        <v>3592920</v>
      </c>
      <c r="E32" s="500">
        <f>E28+E31</f>
        <v>3053327</v>
      </c>
      <c r="F32" s="501">
        <f>D32-E32</f>
        <v>539593</v>
      </c>
      <c r="G32" s="250">
        <f aca="true" t="shared" si="6" ref="G32:S32">SUM(G25:G30)</f>
        <v>0</v>
      </c>
      <c r="H32" s="250">
        <f t="shared" si="6"/>
        <v>0</v>
      </c>
      <c r="I32" s="250">
        <f t="shared" si="6"/>
        <v>0</v>
      </c>
      <c r="J32" s="250">
        <f t="shared" si="6"/>
        <v>0</v>
      </c>
      <c r="K32" s="250">
        <f t="shared" si="6"/>
        <v>0</v>
      </c>
      <c r="L32" s="250">
        <f t="shared" si="6"/>
        <v>0</v>
      </c>
      <c r="M32" s="250">
        <f t="shared" si="6"/>
        <v>0</v>
      </c>
      <c r="N32" s="250">
        <f t="shared" si="6"/>
        <v>0</v>
      </c>
      <c r="O32" s="250">
        <f t="shared" si="6"/>
        <v>0</v>
      </c>
      <c r="P32" s="250">
        <f t="shared" si="6"/>
        <v>0</v>
      </c>
      <c r="Q32" s="250">
        <f t="shared" si="6"/>
        <v>0</v>
      </c>
      <c r="R32" s="250">
        <f t="shared" si="6"/>
        <v>0</v>
      </c>
      <c r="S32" s="250">
        <f t="shared" si="6"/>
        <v>0</v>
      </c>
    </row>
    <row r="33" spans="1:6" ht="20.25">
      <c r="A33" s="222" t="s">
        <v>314</v>
      </c>
      <c r="B33" s="509" t="s">
        <v>315</v>
      </c>
      <c r="C33" s="510" t="s">
        <v>316</v>
      </c>
      <c r="D33" s="221">
        <f>1562700-66200</f>
        <v>1496500</v>
      </c>
      <c r="E33" s="222">
        <v>1174479</v>
      </c>
      <c r="F33" s="222">
        <f aca="true" t="shared" si="7" ref="F33:F55">D33-E33</f>
        <v>322021</v>
      </c>
    </row>
    <row r="34" spans="1:6" ht="20.25">
      <c r="A34" s="227" t="s">
        <v>874</v>
      </c>
      <c r="B34" s="511"/>
      <c r="C34" s="512" t="s">
        <v>87</v>
      </c>
      <c r="D34" s="221">
        <v>21420</v>
      </c>
      <c r="E34" s="222">
        <v>0</v>
      </c>
      <c r="F34" s="222">
        <f>D34-E34</f>
        <v>21420</v>
      </c>
    </row>
    <row r="35" spans="1:6" s="250" customFormat="1" ht="20.25">
      <c r="A35" s="513" t="s">
        <v>752</v>
      </c>
      <c r="B35" s="505"/>
      <c r="C35" s="512" t="s">
        <v>87</v>
      </c>
      <c r="D35" s="221">
        <v>42000</v>
      </c>
      <c r="E35" s="222">
        <v>42000</v>
      </c>
      <c r="F35" s="222">
        <f>D35-E35</f>
        <v>0</v>
      </c>
    </row>
    <row r="36" spans="1:6" s="250" customFormat="1" ht="20.25">
      <c r="A36" s="514" t="s">
        <v>435</v>
      </c>
      <c r="B36" s="507"/>
      <c r="C36" s="515"/>
      <c r="D36" s="507">
        <f>SUM(D33:D35)</f>
        <v>1559920</v>
      </c>
      <c r="E36" s="507">
        <f>SUM(E33:E35)</f>
        <v>1216479</v>
      </c>
      <c r="F36" s="224">
        <f>D36-E36</f>
        <v>343441</v>
      </c>
    </row>
    <row r="37" spans="1:6" s="250" customFormat="1" ht="20.25">
      <c r="A37" s="221" t="s">
        <v>753</v>
      </c>
      <c r="B37" s="221"/>
      <c r="C37" s="516" t="s">
        <v>87</v>
      </c>
      <c r="D37" s="221">
        <f>319200+42000</f>
        <v>361200</v>
      </c>
      <c r="E37" s="221">
        <v>360485</v>
      </c>
      <c r="F37" s="221">
        <f t="shared" si="7"/>
        <v>715</v>
      </c>
    </row>
    <row r="38" spans="1:6" s="250" customFormat="1" ht="20.25">
      <c r="A38" s="505" t="s">
        <v>754</v>
      </c>
      <c r="B38" s="505"/>
      <c r="C38" s="512" t="s">
        <v>87</v>
      </c>
      <c r="D38" s="505">
        <f>17100+22710</f>
        <v>39810</v>
      </c>
      <c r="E38" s="505">
        <v>32826</v>
      </c>
      <c r="F38" s="505">
        <f t="shared" si="7"/>
        <v>6984</v>
      </c>
    </row>
    <row r="39" spans="1:6" s="250" customFormat="1" ht="20.25">
      <c r="A39" s="514" t="s">
        <v>436</v>
      </c>
      <c r="B39" s="507"/>
      <c r="C39" s="515"/>
      <c r="D39" s="507">
        <f>SUM(D37:D38)</f>
        <v>401010</v>
      </c>
      <c r="E39" s="507">
        <f>SUM(E37:E38)</f>
        <v>393311</v>
      </c>
      <c r="F39" s="224">
        <f>D39-E39</f>
        <v>7699</v>
      </c>
    </row>
    <row r="40" spans="1:19" ht="20.25">
      <c r="A40" s="223" t="s">
        <v>60</v>
      </c>
      <c r="B40" s="224"/>
      <c r="C40" s="224"/>
      <c r="D40" s="490">
        <f>D36+D39</f>
        <v>1960930</v>
      </c>
      <c r="E40" s="490">
        <f>E36+E39</f>
        <v>1609790</v>
      </c>
      <c r="F40" s="491">
        <f>D40-E40</f>
        <v>351140</v>
      </c>
      <c r="G40" s="250">
        <f>SUM(G33:G38)</f>
        <v>0</v>
      </c>
      <c r="H40" s="250">
        <f aca="true" t="shared" si="8" ref="H40:S40">SUM(H33:H38)</f>
        <v>0</v>
      </c>
      <c r="I40" s="250">
        <f t="shared" si="8"/>
        <v>0</v>
      </c>
      <c r="J40" s="250">
        <f t="shared" si="8"/>
        <v>0</v>
      </c>
      <c r="K40" s="250">
        <f t="shared" si="8"/>
        <v>0</v>
      </c>
      <c r="L40" s="250">
        <f t="shared" si="8"/>
        <v>0</v>
      </c>
      <c r="M40" s="250">
        <f t="shared" si="8"/>
        <v>0</v>
      </c>
      <c r="N40" s="250">
        <f t="shared" si="8"/>
        <v>0</v>
      </c>
      <c r="O40" s="250">
        <f t="shared" si="8"/>
        <v>0</v>
      </c>
      <c r="P40" s="250">
        <f t="shared" si="8"/>
        <v>0</v>
      </c>
      <c r="Q40" s="250">
        <f t="shared" si="8"/>
        <v>0</v>
      </c>
      <c r="R40" s="250">
        <f t="shared" si="8"/>
        <v>0</v>
      </c>
      <c r="S40" s="250">
        <f t="shared" si="8"/>
        <v>0</v>
      </c>
    </row>
    <row r="41" spans="1:6" ht="20.25">
      <c r="A41" s="222" t="s">
        <v>314</v>
      </c>
      <c r="B41" s="509" t="s">
        <v>622</v>
      </c>
      <c r="C41" s="222" t="s">
        <v>623</v>
      </c>
      <c r="D41" s="221">
        <f>552780-20000-7900-7700-30000-60960</f>
        <v>426220</v>
      </c>
      <c r="E41" s="222">
        <v>335836</v>
      </c>
      <c r="F41" s="222">
        <f t="shared" si="7"/>
        <v>90384</v>
      </c>
    </row>
    <row r="42" spans="1:6" ht="20.25">
      <c r="A42" s="222" t="s">
        <v>875</v>
      </c>
      <c r="B42" s="511"/>
      <c r="C42" s="517" t="s">
        <v>284</v>
      </c>
      <c r="D42" s="221">
        <v>21420</v>
      </c>
      <c r="E42" s="222">
        <v>0</v>
      </c>
      <c r="F42" s="222">
        <f>D42-E42</f>
        <v>21420</v>
      </c>
    </row>
    <row r="43" spans="1:6" ht="20.25">
      <c r="A43" s="505" t="s">
        <v>755</v>
      </c>
      <c r="B43" s="217"/>
      <c r="C43" s="517" t="s">
        <v>284</v>
      </c>
      <c r="D43" s="221">
        <v>42000</v>
      </c>
      <c r="E43" s="222">
        <v>24048</v>
      </c>
      <c r="F43" s="222">
        <f>D43-E43</f>
        <v>17952</v>
      </c>
    </row>
    <row r="44" spans="1:6" ht="20.25">
      <c r="A44" s="514" t="s">
        <v>435</v>
      </c>
      <c r="B44" s="507"/>
      <c r="C44" s="515"/>
      <c r="D44" s="507">
        <f>SUM(D41:D43)</f>
        <v>489640</v>
      </c>
      <c r="E44" s="507">
        <f>SUM(E41:E43)</f>
        <v>359884</v>
      </c>
      <c r="F44" s="224">
        <f t="shared" si="7"/>
        <v>129756</v>
      </c>
    </row>
    <row r="45" spans="1:6" ht="20.25">
      <c r="A45" s="221" t="s">
        <v>756</v>
      </c>
      <c r="B45" s="222"/>
      <c r="C45" s="509" t="s">
        <v>87</v>
      </c>
      <c r="D45" s="221">
        <v>424920</v>
      </c>
      <c r="E45" s="222">
        <v>417000</v>
      </c>
      <c r="F45" s="222">
        <f t="shared" si="7"/>
        <v>7920</v>
      </c>
    </row>
    <row r="46" spans="1:6" ht="20.25">
      <c r="A46" s="505" t="s">
        <v>754</v>
      </c>
      <c r="B46" s="217"/>
      <c r="C46" s="517" t="s">
        <v>87</v>
      </c>
      <c r="D46" s="505">
        <v>65940</v>
      </c>
      <c r="E46" s="217">
        <v>58080</v>
      </c>
      <c r="F46" s="217">
        <f t="shared" si="7"/>
        <v>7860</v>
      </c>
    </row>
    <row r="47" spans="1:6" ht="20.25">
      <c r="A47" s="514" t="s">
        <v>436</v>
      </c>
      <c r="B47" s="507"/>
      <c r="C47" s="515"/>
      <c r="D47" s="507">
        <f>SUM(D45:D46)</f>
        <v>490860</v>
      </c>
      <c r="E47" s="507">
        <f>SUM(E45:E46)</f>
        <v>475080</v>
      </c>
      <c r="F47" s="224">
        <f t="shared" si="7"/>
        <v>15780</v>
      </c>
    </row>
    <row r="48" spans="1:19" ht="20.25">
      <c r="A48" s="223" t="s">
        <v>60</v>
      </c>
      <c r="B48" s="224"/>
      <c r="C48" s="224"/>
      <c r="D48" s="490">
        <f>D44+D47</f>
        <v>980500</v>
      </c>
      <c r="E48" s="490">
        <f>E44+E47</f>
        <v>834964</v>
      </c>
      <c r="F48" s="491">
        <f t="shared" si="7"/>
        <v>145536</v>
      </c>
      <c r="G48" s="250">
        <f>SUM(G41:G46)</f>
        <v>0</v>
      </c>
      <c r="H48" s="250">
        <f aca="true" t="shared" si="9" ref="H48:R48">SUM(H41:H46)</f>
        <v>0</v>
      </c>
      <c r="I48" s="250">
        <f t="shared" si="9"/>
        <v>0</v>
      </c>
      <c r="J48" s="250">
        <f t="shared" si="9"/>
        <v>0</v>
      </c>
      <c r="K48" s="250">
        <f t="shared" si="9"/>
        <v>0</v>
      </c>
      <c r="L48" s="250">
        <f t="shared" si="9"/>
        <v>0</v>
      </c>
      <c r="M48" s="250">
        <f t="shared" si="9"/>
        <v>0</v>
      </c>
      <c r="N48" s="250">
        <f t="shared" si="9"/>
        <v>0</v>
      </c>
      <c r="O48" s="250">
        <f t="shared" si="9"/>
        <v>0</v>
      </c>
      <c r="P48" s="250">
        <f t="shared" si="9"/>
        <v>0</v>
      </c>
      <c r="Q48" s="250">
        <f t="shared" si="9"/>
        <v>0</v>
      </c>
      <c r="R48" s="250">
        <f t="shared" si="9"/>
        <v>0</v>
      </c>
      <c r="S48" s="250">
        <f>SUM(S41:S46)</f>
        <v>0</v>
      </c>
    </row>
    <row r="49" spans="1:6" ht="20.25">
      <c r="A49" s="222" t="s">
        <v>314</v>
      </c>
      <c r="B49" s="222" t="s">
        <v>625</v>
      </c>
      <c r="C49" s="222" t="s">
        <v>362</v>
      </c>
      <c r="D49" s="221">
        <v>329760</v>
      </c>
      <c r="E49" s="222">
        <v>326760</v>
      </c>
      <c r="F49" s="225">
        <f t="shared" si="7"/>
        <v>3000</v>
      </c>
    </row>
    <row r="50" spans="1:6" ht="20.25">
      <c r="A50" s="505" t="s">
        <v>579</v>
      </c>
      <c r="B50" s="518" t="s">
        <v>580</v>
      </c>
      <c r="C50" s="517" t="s">
        <v>87</v>
      </c>
      <c r="D50" s="505">
        <v>42000</v>
      </c>
      <c r="E50" s="217">
        <v>42000</v>
      </c>
      <c r="F50" s="226">
        <f t="shared" si="7"/>
        <v>0</v>
      </c>
    </row>
    <row r="51" spans="1:6" ht="20.25">
      <c r="A51" s="514" t="s">
        <v>435</v>
      </c>
      <c r="B51" s="507"/>
      <c r="C51" s="519" t="s">
        <v>87</v>
      </c>
      <c r="D51" s="507">
        <f>SUM(D49:D50)</f>
        <v>371760</v>
      </c>
      <c r="E51" s="507">
        <f>SUM(E49:E50)</f>
        <v>368760</v>
      </c>
      <c r="F51" s="224">
        <f t="shared" si="7"/>
        <v>3000</v>
      </c>
    </row>
    <row r="52" spans="1:6" ht="20.25">
      <c r="A52" s="520" t="s">
        <v>391</v>
      </c>
      <c r="B52" s="227"/>
      <c r="C52" s="511" t="s">
        <v>87</v>
      </c>
      <c r="D52" s="520">
        <f>184680-35000</f>
        <v>149680</v>
      </c>
      <c r="E52" s="227">
        <v>90600</v>
      </c>
      <c r="F52" s="228">
        <f t="shared" si="7"/>
        <v>59080</v>
      </c>
    </row>
    <row r="53" spans="1:6" ht="20.25">
      <c r="A53" s="514" t="s">
        <v>436</v>
      </c>
      <c r="B53" s="521"/>
      <c r="C53" s="519" t="s">
        <v>87</v>
      </c>
      <c r="D53" s="521">
        <f>SUM(D52:D52)</f>
        <v>149680</v>
      </c>
      <c r="E53" s="507">
        <f>SUM(E52:E52)</f>
        <v>90600</v>
      </c>
      <c r="F53" s="224">
        <f t="shared" si="7"/>
        <v>59080</v>
      </c>
    </row>
    <row r="54" spans="1:29" s="241" customFormat="1" ht="20.25">
      <c r="A54" s="223" t="s">
        <v>60</v>
      </c>
      <c r="B54" s="224"/>
      <c r="C54" s="519" t="s">
        <v>87</v>
      </c>
      <c r="D54" s="490">
        <f>D51+D53</f>
        <v>521440</v>
      </c>
      <c r="E54" s="490">
        <f>E51+E53</f>
        <v>459360</v>
      </c>
      <c r="F54" s="491">
        <f t="shared" si="7"/>
        <v>62080</v>
      </c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</row>
    <row r="55" spans="1:6" ht="20.25">
      <c r="A55" s="224" t="s">
        <v>314</v>
      </c>
      <c r="B55" s="224" t="s">
        <v>582</v>
      </c>
      <c r="C55" s="224" t="s">
        <v>371</v>
      </c>
      <c r="D55" s="507">
        <v>1058560</v>
      </c>
      <c r="E55" s="507">
        <v>1004309</v>
      </c>
      <c r="F55" s="224">
        <f t="shared" si="7"/>
        <v>54251</v>
      </c>
    </row>
    <row r="56" spans="1:6" ht="20.25">
      <c r="A56" s="227" t="s">
        <v>938</v>
      </c>
      <c r="B56" s="227"/>
      <c r="C56" s="227"/>
      <c r="D56" s="520">
        <f>35000</f>
        <v>35000</v>
      </c>
      <c r="E56" s="520">
        <v>35000</v>
      </c>
      <c r="F56" s="227">
        <f>D56-E56</f>
        <v>0</v>
      </c>
    </row>
    <row r="57" spans="1:6" ht="20.25">
      <c r="A57" s="514" t="s">
        <v>435</v>
      </c>
      <c r="B57" s="507"/>
      <c r="C57" s="515"/>
      <c r="D57" s="507">
        <f>+D55+D56</f>
        <v>1093560</v>
      </c>
      <c r="E57" s="507">
        <f>SUM(E55:E56)</f>
        <v>1039309</v>
      </c>
      <c r="F57" s="507">
        <f>+F55</f>
        <v>54251</v>
      </c>
    </row>
    <row r="58" spans="1:6" ht="20.25">
      <c r="A58" s="221" t="s">
        <v>581</v>
      </c>
      <c r="B58" s="222"/>
      <c r="C58" s="222"/>
      <c r="D58" s="221">
        <v>1120240</v>
      </c>
      <c r="E58" s="222">
        <v>592317</v>
      </c>
      <c r="F58" s="222">
        <f>D58-E58</f>
        <v>527923</v>
      </c>
    </row>
    <row r="59" spans="1:6" ht="20.25">
      <c r="A59" s="505" t="s">
        <v>583</v>
      </c>
      <c r="B59" s="217"/>
      <c r="C59" s="217"/>
      <c r="D59" s="505">
        <v>100700</v>
      </c>
      <c r="E59" s="217">
        <v>74013</v>
      </c>
      <c r="F59" s="217">
        <f>D59-E59</f>
        <v>26687</v>
      </c>
    </row>
    <row r="60" spans="1:6" ht="20.25">
      <c r="A60" s="514" t="s">
        <v>436</v>
      </c>
      <c r="B60" s="507"/>
      <c r="C60" s="515"/>
      <c r="D60" s="507">
        <f>SUM(D58:D59)</f>
        <v>1220940</v>
      </c>
      <c r="E60" s="507">
        <f>SUM(E58:E59)</f>
        <v>666330</v>
      </c>
      <c r="F60" s="224">
        <f aca="true" t="shared" si="10" ref="F60:F79">D60-E60</f>
        <v>554610</v>
      </c>
    </row>
    <row r="61" spans="1:29" s="241" customFormat="1" ht="20.25">
      <c r="A61" s="223" t="s">
        <v>60</v>
      </c>
      <c r="B61" s="224"/>
      <c r="C61" s="224"/>
      <c r="D61" s="490">
        <f>D57+D60</f>
        <v>2314500</v>
      </c>
      <c r="E61" s="490">
        <f>E57+E60</f>
        <v>1705639</v>
      </c>
      <c r="F61" s="491">
        <f t="shared" si="10"/>
        <v>608861</v>
      </c>
      <c r="G61" s="575"/>
      <c r="H61" s="575"/>
      <c r="I61" s="575"/>
      <c r="J61" s="575"/>
      <c r="K61" s="575"/>
      <c r="L61" s="575"/>
      <c r="M61" s="575"/>
      <c r="N61" s="575"/>
      <c r="O61" s="575"/>
      <c r="P61" s="575"/>
      <c r="Q61" s="575"/>
      <c r="R61" s="575"/>
      <c r="S61" s="575"/>
      <c r="T61" s="576"/>
      <c r="U61" s="576"/>
      <c r="V61" s="576"/>
      <c r="W61" s="576"/>
      <c r="X61" s="576"/>
      <c r="Y61" s="576"/>
      <c r="Z61" s="576"/>
      <c r="AA61" s="576"/>
      <c r="AB61" s="576"/>
      <c r="AC61" s="576"/>
    </row>
    <row r="62" spans="1:6" ht="20.25">
      <c r="A62" s="477" t="s">
        <v>317</v>
      </c>
      <c r="B62" s="222" t="s">
        <v>626</v>
      </c>
      <c r="C62" s="477" t="s">
        <v>584</v>
      </c>
      <c r="D62" s="221">
        <f>756420-300000-359800</f>
        <v>96620</v>
      </c>
      <c r="E62" s="222">
        <v>60240</v>
      </c>
      <c r="F62" s="222">
        <f t="shared" si="10"/>
        <v>36380</v>
      </c>
    </row>
    <row r="63" spans="1:6" ht="20.25">
      <c r="A63" s="518" t="s">
        <v>318</v>
      </c>
      <c r="B63" s="217"/>
      <c r="C63" s="517" t="s">
        <v>284</v>
      </c>
      <c r="D63" s="505">
        <v>42000</v>
      </c>
      <c r="E63" s="217">
        <v>0</v>
      </c>
      <c r="F63" s="217">
        <f t="shared" si="10"/>
        <v>42000</v>
      </c>
    </row>
    <row r="64" spans="1:6" ht="20.25">
      <c r="A64" s="514" t="s">
        <v>435</v>
      </c>
      <c r="B64" s="507"/>
      <c r="C64" s="519" t="s">
        <v>284</v>
      </c>
      <c r="D64" s="490">
        <f>SUM(D62:D63)</f>
        <v>138620</v>
      </c>
      <c r="E64" s="507">
        <f>SUM(E62:E63)</f>
        <v>60240</v>
      </c>
      <c r="F64" s="224">
        <f t="shared" si="10"/>
        <v>78380</v>
      </c>
    </row>
    <row r="65" spans="1:6" ht="20.25">
      <c r="A65" s="522" t="s">
        <v>391</v>
      </c>
      <c r="B65" s="210"/>
      <c r="C65" s="511" t="s">
        <v>284</v>
      </c>
      <c r="D65" s="209">
        <v>184680</v>
      </c>
      <c r="E65" s="210">
        <v>181200</v>
      </c>
      <c r="F65" s="210">
        <f t="shared" si="10"/>
        <v>3480</v>
      </c>
    </row>
    <row r="66" spans="1:6" ht="20.25">
      <c r="A66" s="523" t="s">
        <v>436</v>
      </c>
      <c r="B66" s="475"/>
      <c r="C66" s="517" t="s">
        <v>284</v>
      </c>
      <c r="D66" s="475">
        <f>SUM(D65:D65)</f>
        <v>184680</v>
      </c>
      <c r="E66" s="475">
        <f>SUM(E65:E65)</f>
        <v>181200</v>
      </c>
      <c r="F66" s="215">
        <f t="shared" si="10"/>
        <v>3480</v>
      </c>
    </row>
    <row r="67" spans="1:19" ht="20.25">
      <c r="A67" s="223" t="s">
        <v>60</v>
      </c>
      <c r="B67" s="224"/>
      <c r="C67" s="224"/>
      <c r="D67" s="490">
        <f>D64+D66</f>
        <v>323300</v>
      </c>
      <c r="E67" s="490">
        <f>E64+E66</f>
        <v>241440</v>
      </c>
      <c r="F67" s="491">
        <f t="shared" si="10"/>
        <v>81860</v>
      </c>
      <c r="G67" s="577">
        <f aca="true" t="shared" si="11" ref="G67:R67">SUM(G62:G63)</f>
        <v>0</v>
      </c>
      <c r="H67" s="577">
        <f t="shared" si="11"/>
        <v>0</v>
      </c>
      <c r="I67" s="577">
        <f t="shared" si="11"/>
        <v>0</v>
      </c>
      <c r="J67" s="577">
        <f t="shared" si="11"/>
        <v>0</v>
      </c>
      <c r="K67" s="577">
        <f t="shared" si="11"/>
        <v>0</v>
      </c>
      <c r="L67" s="577">
        <f t="shared" si="11"/>
        <v>0</v>
      </c>
      <c r="M67" s="577">
        <f t="shared" si="11"/>
        <v>0</v>
      </c>
      <c r="N67" s="577">
        <f t="shared" si="11"/>
        <v>0</v>
      </c>
      <c r="O67" s="577">
        <f t="shared" si="11"/>
        <v>0</v>
      </c>
      <c r="P67" s="577">
        <f t="shared" si="11"/>
        <v>0</v>
      </c>
      <c r="Q67" s="577">
        <f t="shared" si="11"/>
        <v>0</v>
      </c>
      <c r="R67" s="577">
        <f t="shared" si="11"/>
        <v>0</v>
      </c>
      <c r="S67" s="250">
        <f>SUM(S62:S63)</f>
        <v>0</v>
      </c>
    </row>
    <row r="68" spans="1:18" ht="20.25">
      <c r="A68" s="477" t="s">
        <v>389</v>
      </c>
      <c r="B68" s="222" t="s">
        <v>620</v>
      </c>
      <c r="C68" s="222" t="s">
        <v>388</v>
      </c>
      <c r="D68" s="221">
        <f>541560+10920</f>
        <v>552480</v>
      </c>
      <c r="E68" s="222">
        <v>552480</v>
      </c>
      <c r="F68" s="222">
        <f t="shared" si="10"/>
        <v>0</v>
      </c>
      <c r="G68" s="577"/>
      <c r="H68" s="577"/>
      <c r="I68" s="577"/>
      <c r="J68" s="577"/>
      <c r="K68" s="577"/>
      <c r="L68" s="577"/>
      <c r="M68" s="577"/>
      <c r="N68" s="577"/>
      <c r="O68" s="577"/>
      <c r="P68" s="577"/>
      <c r="Q68" s="577"/>
      <c r="R68" s="577"/>
    </row>
    <row r="69" spans="1:18" ht="20.25">
      <c r="A69" s="518" t="s">
        <v>390</v>
      </c>
      <c r="B69" s="217" t="s">
        <v>387</v>
      </c>
      <c r="C69" s="517" t="s">
        <v>284</v>
      </c>
      <c r="D69" s="505">
        <v>42000</v>
      </c>
      <c r="E69" s="217">
        <v>42000</v>
      </c>
      <c r="F69" s="226">
        <f t="shared" si="10"/>
        <v>0</v>
      </c>
      <c r="G69" s="577"/>
      <c r="H69" s="577"/>
      <c r="I69" s="577"/>
      <c r="J69" s="577"/>
      <c r="K69" s="577"/>
      <c r="L69" s="577"/>
      <c r="M69" s="577"/>
      <c r="N69" s="577"/>
      <c r="O69" s="577"/>
      <c r="P69" s="577"/>
      <c r="Q69" s="577"/>
      <c r="R69" s="577"/>
    </row>
    <row r="70" spans="1:18" ht="20.25">
      <c r="A70" s="514" t="s">
        <v>435</v>
      </c>
      <c r="B70" s="507"/>
      <c r="C70" s="515"/>
      <c r="D70" s="507">
        <f>SUM(D68:D69)</f>
        <v>594480</v>
      </c>
      <c r="E70" s="507">
        <f>SUM(E68:E69)</f>
        <v>594480</v>
      </c>
      <c r="F70" s="224">
        <f>D70-E70</f>
        <v>0</v>
      </c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</row>
    <row r="71" spans="1:18" ht="20.25">
      <c r="A71" s="477" t="s">
        <v>585</v>
      </c>
      <c r="B71" s="222"/>
      <c r="C71" s="517" t="s">
        <v>284</v>
      </c>
      <c r="D71" s="221">
        <v>332160</v>
      </c>
      <c r="E71" s="222">
        <v>325920</v>
      </c>
      <c r="F71" s="222">
        <f t="shared" si="10"/>
        <v>6240</v>
      </c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</row>
    <row r="72" spans="1:18" ht="20.25">
      <c r="A72" s="518" t="s">
        <v>578</v>
      </c>
      <c r="B72" s="217"/>
      <c r="C72" s="517" t="s">
        <v>284</v>
      </c>
      <c r="D72" s="505">
        <v>20340</v>
      </c>
      <c r="E72" s="217">
        <v>14700</v>
      </c>
      <c r="F72" s="217">
        <f t="shared" si="10"/>
        <v>5640</v>
      </c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</row>
    <row r="73" spans="1:18" ht="20.25">
      <c r="A73" s="514" t="s">
        <v>436</v>
      </c>
      <c r="B73" s="507"/>
      <c r="C73" s="515"/>
      <c r="D73" s="507">
        <f>SUM(D71:D72)</f>
        <v>352500</v>
      </c>
      <c r="E73" s="507">
        <f>SUM(E71:E72)</f>
        <v>340620</v>
      </c>
      <c r="F73" s="224">
        <f>D73-E73</f>
        <v>11880</v>
      </c>
      <c r="G73" s="577"/>
      <c r="H73" s="577"/>
      <c r="I73" s="577"/>
      <c r="J73" s="577"/>
      <c r="K73" s="577"/>
      <c r="L73" s="577"/>
      <c r="M73" s="577"/>
      <c r="N73" s="577"/>
      <c r="O73" s="577"/>
      <c r="P73" s="577"/>
      <c r="Q73" s="577"/>
      <c r="R73" s="577"/>
    </row>
    <row r="74" spans="1:18" ht="20.25">
      <c r="A74" s="223" t="s">
        <v>60</v>
      </c>
      <c r="B74" s="224"/>
      <c r="C74" s="224"/>
      <c r="D74" s="490">
        <f>D70+D73</f>
        <v>946980</v>
      </c>
      <c r="E74" s="490">
        <f>E70+E73</f>
        <v>935100</v>
      </c>
      <c r="F74" s="491">
        <f>D74-E74</f>
        <v>11880</v>
      </c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</row>
    <row r="75" spans="1:18" ht="20.25">
      <c r="A75" s="477" t="s">
        <v>317</v>
      </c>
      <c r="B75" s="222" t="s">
        <v>627</v>
      </c>
      <c r="C75" s="222" t="s">
        <v>328</v>
      </c>
      <c r="D75" s="221">
        <f>325320-200000-125000</f>
        <v>320</v>
      </c>
      <c r="E75" s="233"/>
      <c r="F75" s="225">
        <f t="shared" si="10"/>
        <v>320</v>
      </c>
      <c r="G75" s="577"/>
      <c r="H75" s="577"/>
      <c r="I75" s="577"/>
      <c r="J75" s="577"/>
      <c r="K75" s="577"/>
      <c r="L75" s="577"/>
      <c r="M75" s="577"/>
      <c r="N75" s="577"/>
      <c r="O75" s="577"/>
      <c r="P75" s="577"/>
      <c r="Q75" s="577"/>
      <c r="R75" s="577"/>
    </row>
    <row r="76" spans="1:18" ht="20.25">
      <c r="A76" s="518" t="s">
        <v>318</v>
      </c>
      <c r="B76" s="217" t="s">
        <v>111</v>
      </c>
      <c r="C76" s="217"/>
      <c r="D76" s="505">
        <f>42000-42000</f>
        <v>0</v>
      </c>
      <c r="E76" s="524">
        <v>0</v>
      </c>
      <c r="F76" s="226">
        <f t="shared" si="10"/>
        <v>0</v>
      </c>
      <c r="G76" s="577"/>
      <c r="H76" s="577"/>
      <c r="I76" s="577"/>
      <c r="J76" s="577"/>
      <c r="K76" s="577"/>
      <c r="L76" s="577"/>
      <c r="M76" s="577"/>
      <c r="N76" s="577"/>
      <c r="O76" s="577"/>
      <c r="P76" s="577"/>
      <c r="Q76" s="577"/>
      <c r="R76" s="577"/>
    </row>
    <row r="77" spans="1:18" ht="20.25">
      <c r="A77" s="514" t="s">
        <v>435</v>
      </c>
      <c r="B77" s="507"/>
      <c r="C77" s="515"/>
      <c r="D77" s="507">
        <f>SUM(D75:D76)</f>
        <v>320</v>
      </c>
      <c r="E77" s="507">
        <f>SUM(E75:E76)</f>
        <v>0</v>
      </c>
      <c r="F77" s="224">
        <f>D77-E77</f>
        <v>320</v>
      </c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577"/>
    </row>
    <row r="78" spans="1:18" ht="20.25">
      <c r="A78" s="477" t="s">
        <v>391</v>
      </c>
      <c r="B78" s="222"/>
      <c r="C78" s="517" t="s">
        <v>284</v>
      </c>
      <c r="D78" s="221">
        <v>140160</v>
      </c>
      <c r="E78" s="221">
        <v>121144</v>
      </c>
      <c r="F78" s="225">
        <f t="shared" si="10"/>
        <v>19016</v>
      </c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</row>
    <row r="79" spans="1:18" ht="20.25">
      <c r="A79" s="518" t="s">
        <v>381</v>
      </c>
      <c r="B79" s="217"/>
      <c r="C79" s="517" t="s">
        <v>284</v>
      </c>
      <c r="D79" s="505">
        <v>24000</v>
      </c>
      <c r="E79" s="505">
        <v>19290</v>
      </c>
      <c r="F79" s="226">
        <f t="shared" si="10"/>
        <v>4710</v>
      </c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</row>
    <row r="80" spans="1:18" ht="20.25">
      <c r="A80" s="514" t="s">
        <v>436</v>
      </c>
      <c r="B80" s="507"/>
      <c r="C80" s="515"/>
      <c r="D80" s="507">
        <f>SUM(D78:D79)</f>
        <v>164160</v>
      </c>
      <c r="E80" s="507">
        <f>SUM(E78:E79)</f>
        <v>140434</v>
      </c>
      <c r="F80" s="224">
        <f>D80-E80</f>
        <v>23726</v>
      </c>
      <c r="G80" s="577"/>
      <c r="H80" s="577"/>
      <c r="I80" s="577"/>
      <c r="J80" s="577"/>
      <c r="K80" s="577"/>
      <c r="L80" s="577"/>
      <c r="M80" s="577"/>
      <c r="N80" s="577"/>
      <c r="O80" s="577"/>
      <c r="P80" s="577"/>
      <c r="Q80" s="577"/>
      <c r="R80" s="577"/>
    </row>
    <row r="81" spans="1:18" ht="20.25">
      <c r="A81" s="223" t="s">
        <v>60</v>
      </c>
      <c r="B81" s="224"/>
      <c r="C81" s="224"/>
      <c r="D81" s="490">
        <f>D77+D80</f>
        <v>164480</v>
      </c>
      <c r="E81" s="490">
        <f>E77+E80</f>
        <v>140434</v>
      </c>
      <c r="F81" s="491">
        <f>D81-E81</f>
        <v>24046</v>
      </c>
      <c r="G81" s="577"/>
      <c r="H81" s="577"/>
      <c r="I81" s="577"/>
      <c r="J81" s="577"/>
      <c r="K81" s="577"/>
      <c r="L81" s="577"/>
      <c r="M81" s="577"/>
      <c r="N81" s="577"/>
      <c r="O81" s="577"/>
      <c r="P81" s="577"/>
      <c r="Q81" s="577"/>
      <c r="R81" s="577"/>
    </row>
    <row r="82" spans="1:19" ht="20.25">
      <c r="A82" s="223" t="s">
        <v>319</v>
      </c>
      <c r="B82" s="223"/>
      <c r="C82" s="223"/>
      <c r="D82" s="490">
        <f>D81+D74+D67+D61+D54+D48+D40+D32</f>
        <v>10805050</v>
      </c>
      <c r="E82" s="490">
        <f>E32+E40+E48+E54+E61+E67+E74+E81</f>
        <v>8980054</v>
      </c>
      <c r="F82" s="491">
        <f>D82-E82</f>
        <v>1824996</v>
      </c>
      <c r="G82" s="250">
        <f aca="true" t="shared" si="12" ref="G82:S82">G67+G48+G40+G32</f>
        <v>0</v>
      </c>
      <c r="H82" s="250">
        <f t="shared" si="12"/>
        <v>0</v>
      </c>
      <c r="I82" s="250">
        <f t="shared" si="12"/>
        <v>0</v>
      </c>
      <c r="J82" s="250">
        <f t="shared" si="12"/>
        <v>0</v>
      </c>
      <c r="K82" s="250">
        <f t="shared" si="12"/>
        <v>0</v>
      </c>
      <c r="L82" s="250">
        <f t="shared" si="12"/>
        <v>0</v>
      </c>
      <c r="M82" s="250">
        <f t="shared" si="12"/>
        <v>0</v>
      </c>
      <c r="N82" s="250">
        <f t="shared" si="12"/>
        <v>0</v>
      </c>
      <c r="O82" s="250">
        <f t="shared" si="12"/>
        <v>0</v>
      </c>
      <c r="P82" s="250">
        <f t="shared" si="12"/>
        <v>0</v>
      </c>
      <c r="Q82" s="250">
        <f t="shared" si="12"/>
        <v>0</v>
      </c>
      <c r="R82" s="250">
        <f t="shared" si="12"/>
        <v>0</v>
      </c>
      <c r="S82" s="250">
        <f t="shared" si="12"/>
        <v>0</v>
      </c>
    </row>
    <row r="83" spans="1:6" ht="20.25">
      <c r="A83" s="492" t="s">
        <v>320</v>
      </c>
      <c r="B83" s="494"/>
      <c r="C83" s="494"/>
      <c r="D83" s="209"/>
      <c r="E83" s="210"/>
      <c r="F83" s="210"/>
    </row>
    <row r="84" spans="1:19" ht="20.25">
      <c r="A84" s="213" t="s">
        <v>321</v>
      </c>
      <c r="B84" s="231" t="s">
        <v>306</v>
      </c>
      <c r="C84" s="495" t="s">
        <v>876</v>
      </c>
      <c r="D84" s="212">
        <v>136000</v>
      </c>
      <c r="E84" s="213">
        <v>0</v>
      </c>
      <c r="F84" s="213">
        <f>D84-E84</f>
        <v>136000</v>
      </c>
      <c r="S84" s="250">
        <f>SUM(G84:R84)</f>
        <v>0</v>
      </c>
    </row>
    <row r="85" spans="1:19" ht="20.25">
      <c r="A85" s="213" t="s">
        <v>417</v>
      </c>
      <c r="B85" s="231"/>
      <c r="C85" s="517" t="s">
        <v>284</v>
      </c>
      <c r="D85" s="212">
        <v>10000</v>
      </c>
      <c r="E85" s="213">
        <v>0</v>
      </c>
      <c r="F85" s="213">
        <f>D85-E85</f>
        <v>10000</v>
      </c>
      <c r="S85" s="250">
        <f>SUM(G85:R85)</f>
        <v>0</v>
      </c>
    </row>
    <row r="86" spans="1:6" ht="20.25">
      <c r="A86" s="213" t="s">
        <v>400</v>
      </c>
      <c r="B86" s="231"/>
      <c r="C86" s="517" t="s">
        <v>284</v>
      </c>
      <c r="D86" s="212">
        <v>78000</v>
      </c>
      <c r="E86" s="213">
        <v>63600</v>
      </c>
      <c r="F86" s="213">
        <f>D86-E86</f>
        <v>14400</v>
      </c>
    </row>
    <row r="87" spans="1:6" ht="20.25">
      <c r="A87" s="217" t="s">
        <v>418</v>
      </c>
      <c r="B87" s="237"/>
      <c r="C87" s="517" t="s">
        <v>284</v>
      </c>
      <c r="D87" s="505">
        <v>19800</v>
      </c>
      <c r="E87" s="217">
        <v>4200</v>
      </c>
      <c r="F87" s="217">
        <f>D87-E87</f>
        <v>15600</v>
      </c>
    </row>
    <row r="88" spans="1:19" ht="20.25">
      <c r="A88" s="223" t="s">
        <v>60</v>
      </c>
      <c r="B88" s="232"/>
      <c r="C88" s="232"/>
      <c r="D88" s="490">
        <f>SUM(D84:D87)</f>
        <v>243800</v>
      </c>
      <c r="E88" s="491">
        <f>SUM(E84:E87)</f>
        <v>67800</v>
      </c>
      <c r="F88" s="224">
        <f>D88-E88</f>
        <v>176000</v>
      </c>
      <c r="G88" s="250">
        <f>SUM(G84:G87)</f>
        <v>0</v>
      </c>
      <c r="H88" s="250">
        <f aca="true" t="shared" si="13" ref="H88:S88">SUM(H84:H87)</f>
        <v>0</v>
      </c>
      <c r="I88" s="250">
        <f t="shared" si="13"/>
        <v>0</v>
      </c>
      <c r="J88" s="250">
        <f t="shared" si="13"/>
        <v>0</v>
      </c>
      <c r="K88" s="250">
        <f t="shared" si="13"/>
        <v>0</v>
      </c>
      <c r="L88" s="250">
        <f t="shared" si="13"/>
        <v>0</v>
      </c>
      <c r="M88" s="250">
        <f t="shared" si="13"/>
        <v>0</v>
      </c>
      <c r="N88" s="250">
        <f t="shared" si="13"/>
        <v>0</v>
      </c>
      <c r="O88" s="250">
        <f t="shared" si="13"/>
        <v>0</v>
      </c>
      <c r="P88" s="250">
        <f t="shared" si="13"/>
        <v>0</v>
      </c>
      <c r="Q88" s="250">
        <f t="shared" si="13"/>
        <v>0</v>
      </c>
      <c r="R88" s="250">
        <f t="shared" si="13"/>
        <v>0</v>
      </c>
      <c r="S88" s="250">
        <f t="shared" si="13"/>
        <v>0</v>
      </c>
    </row>
    <row r="89" spans="1:6" ht="20.25">
      <c r="A89" s="492" t="s">
        <v>320</v>
      </c>
      <c r="B89" s="494"/>
      <c r="C89" s="494"/>
      <c r="D89" s="209"/>
      <c r="E89" s="210"/>
      <c r="F89" s="210"/>
    </row>
    <row r="90" spans="1:19" ht="20.25">
      <c r="A90" s="213" t="s">
        <v>321</v>
      </c>
      <c r="B90" s="231" t="s">
        <v>306</v>
      </c>
      <c r="C90" s="495" t="s">
        <v>866</v>
      </c>
      <c r="D90" s="212">
        <v>45000</v>
      </c>
      <c r="E90" s="213">
        <v>42000</v>
      </c>
      <c r="F90" s="213">
        <f>D90-E90</f>
        <v>3000</v>
      </c>
      <c r="S90" s="250">
        <f>SUM(G90:R90)</f>
        <v>0</v>
      </c>
    </row>
    <row r="91" spans="1:19" ht="20.25">
      <c r="A91" s="223" t="s">
        <v>60</v>
      </c>
      <c r="B91" s="232"/>
      <c r="C91" s="232"/>
      <c r="D91" s="490">
        <f>SUM(D90:D90)</f>
        <v>45000</v>
      </c>
      <c r="E91" s="491">
        <f>SUM(E90:E90)</f>
        <v>42000</v>
      </c>
      <c r="F91" s="224">
        <f>D91-E91</f>
        <v>3000</v>
      </c>
      <c r="G91" s="250">
        <f aca="true" t="shared" si="14" ref="G91:S91">SUM(G90:G90)</f>
        <v>0</v>
      </c>
      <c r="H91" s="250">
        <f t="shared" si="14"/>
        <v>0</v>
      </c>
      <c r="I91" s="250">
        <f t="shared" si="14"/>
        <v>0</v>
      </c>
      <c r="J91" s="250">
        <f t="shared" si="14"/>
        <v>0</v>
      </c>
      <c r="K91" s="250">
        <f t="shared" si="14"/>
        <v>0</v>
      </c>
      <c r="L91" s="250">
        <f t="shared" si="14"/>
        <v>0</v>
      </c>
      <c r="M91" s="250">
        <f t="shared" si="14"/>
        <v>0</v>
      </c>
      <c r="N91" s="250">
        <f t="shared" si="14"/>
        <v>0</v>
      </c>
      <c r="O91" s="250">
        <f t="shared" si="14"/>
        <v>0</v>
      </c>
      <c r="P91" s="250">
        <f t="shared" si="14"/>
        <v>0</v>
      </c>
      <c r="Q91" s="250">
        <f t="shared" si="14"/>
        <v>0</v>
      </c>
      <c r="R91" s="250">
        <f t="shared" si="14"/>
        <v>0</v>
      </c>
      <c r="S91" s="250">
        <f t="shared" si="14"/>
        <v>0</v>
      </c>
    </row>
    <row r="92" spans="1:6" ht="20.25">
      <c r="A92" s="225" t="s">
        <v>320</v>
      </c>
      <c r="B92" s="257"/>
      <c r="C92" s="257"/>
      <c r="D92" s="578"/>
      <c r="E92" s="244"/>
      <c r="F92" s="244"/>
    </row>
    <row r="93" spans="1:6" ht="20.25">
      <c r="A93" s="213" t="s">
        <v>322</v>
      </c>
      <c r="B93" s="256" t="s">
        <v>315</v>
      </c>
      <c r="C93" s="495" t="s">
        <v>316</v>
      </c>
      <c r="D93" s="212">
        <v>100000</v>
      </c>
      <c r="E93" s="213">
        <v>39000</v>
      </c>
      <c r="F93" s="213">
        <f>D93-E93</f>
        <v>61000</v>
      </c>
    </row>
    <row r="94" spans="1:19" ht="20.25">
      <c r="A94" s="213" t="s">
        <v>408</v>
      </c>
      <c r="B94" s="231"/>
      <c r="C94" s="517" t="s">
        <v>284</v>
      </c>
      <c r="D94" s="212">
        <v>10000</v>
      </c>
      <c r="E94" s="213">
        <v>0</v>
      </c>
      <c r="F94" s="213">
        <f>D94-E94</f>
        <v>10000</v>
      </c>
      <c r="S94" s="579">
        <f>SUM(G94:R94)</f>
        <v>0</v>
      </c>
    </row>
    <row r="95" spans="1:6" ht="20.25">
      <c r="A95" s="213" t="s">
        <v>400</v>
      </c>
      <c r="B95" s="231"/>
      <c r="C95" s="517" t="s">
        <v>284</v>
      </c>
      <c r="D95" s="212">
        <v>198000</v>
      </c>
      <c r="E95" s="213">
        <v>132900</v>
      </c>
      <c r="F95" s="213">
        <f>D95-E95</f>
        <v>65100</v>
      </c>
    </row>
    <row r="96" spans="1:6" ht="20.25">
      <c r="A96" s="217" t="s">
        <v>418</v>
      </c>
      <c r="B96" s="237"/>
      <c r="C96" s="517" t="s">
        <v>284</v>
      </c>
      <c r="D96" s="505">
        <v>19400</v>
      </c>
      <c r="E96" s="217"/>
      <c r="F96" s="217"/>
    </row>
    <row r="97" spans="1:19" ht="20.25">
      <c r="A97" s="223" t="s">
        <v>60</v>
      </c>
      <c r="B97" s="232"/>
      <c r="C97" s="232"/>
      <c r="D97" s="490">
        <f>SUM(D93:D96)</f>
        <v>327400</v>
      </c>
      <c r="E97" s="491">
        <f>SUM(E93:E96)</f>
        <v>171900</v>
      </c>
      <c r="F97" s="491">
        <f>SUM(F93:F96)</f>
        <v>136100</v>
      </c>
      <c r="G97" s="250">
        <f>SUM(G93:G96)</f>
        <v>0</v>
      </c>
      <c r="H97" s="250">
        <f aca="true" t="shared" si="15" ref="H97:R97">SUM(H93:H96)</f>
        <v>0</v>
      </c>
      <c r="I97" s="250">
        <f t="shared" si="15"/>
        <v>0</v>
      </c>
      <c r="J97" s="250">
        <f t="shared" si="15"/>
        <v>0</v>
      </c>
      <c r="K97" s="250">
        <f t="shared" si="15"/>
        <v>0</v>
      </c>
      <c r="L97" s="250">
        <f t="shared" si="15"/>
        <v>0</v>
      </c>
      <c r="M97" s="250">
        <f t="shared" si="15"/>
        <v>0</v>
      </c>
      <c r="N97" s="250">
        <f t="shared" si="15"/>
        <v>0</v>
      </c>
      <c r="O97" s="250">
        <f t="shared" si="15"/>
        <v>0</v>
      </c>
      <c r="P97" s="250">
        <f t="shared" si="15"/>
        <v>0</v>
      </c>
      <c r="Q97" s="250">
        <f t="shared" si="15"/>
        <v>0</v>
      </c>
      <c r="R97" s="250">
        <f t="shared" si="15"/>
        <v>0</v>
      </c>
      <c r="S97" s="250">
        <f>SUM(G97:R97)</f>
        <v>0</v>
      </c>
    </row>
    <row r="98" spans="1:19" ht="20.25">
      <c r="A98" s="225" t="s">
        <v>320</v>
      </c>
      <c r="B98" s="244"/>
      <c r="C98" s="244"/>
      <c r="D98" s="578"/>
      <c r="E98" s="244"/>
      <c r="F98" s="244"/>
      <c r="S98" s="579"/>
    </row>
    <row r="99" spans="1:6" ht="20.25">
      <c r="A99" s="213" t="s">
        <v>322</v>
      </c>
      <c r="B99" s="256" t="s">
        <v>622</v>
      </c>
      <c r="C99" s="213" t="s">
        <v>623</v>
      </c>
      <c r="D99" s="212">
        <v>40200</v>
      </c>
      <c r="E99" s="213">
        <v>0</v>
      </c>
      <c r="F99" s="213">
        <f>D99-E99</f>
        <v>40200</v>
      </c>
    </row>
    <row r="100" spans="1:6" ht="20.25">
      <c r="A100" s="235" t="s">
        <v>588</v>
      </c>
      <c r="B100" s="231"/>
      <c r="C100" s="256" t="s">
        <v>284</v>
      </c>
      <c r="D100" s="212">
        <v>10000</v>
      </c>
      <c r="E100" s="230">
        <v>0</v>
      </c>
      <c r="F100" s="213">
        <f>D100-E100</f>
        <v>10000</v>
      </c>
    </row>
    <row r="101" spans="1:19" ht="20.25">
      <c r="A101" s="235" t="s">
        <v>587</v>
      </c>
      <c r="B101" s="231"/>
      <c r="C101" s="256" t="s">
        <v>284</v>
      </c>
      <c r="D101" s="212">
        <v>78000</v>
      </c>
      <c r="E101" s="213">
        <v>39000</v>
      </c>
      <c r="F101" s="213">
        <f>D101-E101</f>
        <v>39000</v>
      </c>
      <c r="S101" s="579"/>
    </row>
    <row r="102" spans="1:19" ht="20.25">
      <c r="A102" s="235" t="s">
        <v>757</v>
      </c>
      <c r="B102" s="231"/>
      <c r="C102" s="256" t="s">
        <v>284</v>
      </c>
      <c r="D102" s="212">
        <v>14600</v>
      </c>
      <c r="E102" s="213">
        <v>0</v>
      </c>
      <c r="F102" s="213">
        <f>D102-E102</f>
        <v>14600</v>
      </c>
      <c r="S102" s="579"/>
    </row>
    <row r="103" spans="1:19" ht="20.25">
      <c r="A103" s="223" t="s">
        <v>60</v>
      </c>
      <c r="B103" s="232"/>
      <c r="C103" s="232"/>
      <c r="D103" s="490">
        <f>SUM(D99:D102)</f>
        <v>142800</v>
      </c>
      <c r="E103" s="491">
        <f>SUM(E99:E102)</f>
        <v>39000</v>
      </c>
      <c r="F103" s="491">
        <f>D103-E103</f>
        <v>103800</v>
      </c>
      <c r="G103" s="250">
        <f aca="true" t="shared" si="16" ref="G103:S103">SUM(G99:G102)</f>
        <v>0</v>
      </c>
      <c r="H103" s="250">
        <f t="shared" si="16"/>
        <v>0</v>
      </c>
      <c r="I103" s="250">
        <f t="shared" si="16"/>
        <v>0</v>
      </c>
      <c r="J103" s="250">
        <f t="shared" si="16"/>
        <v>0</v>
      </c>
      <c r="K103" s="250">
        <f t="shared" si="16"/>
        <v>0</v>
      </c>
      <c r="L103" s="250">
        <f t="shared" si="16"/>
        <v>0</v>
      </c>
      <c r="M103" s="250">
        <f t="shared" si="16"/>
        <v>0</v>
      </c>
      <c r="N103" s="250">
        <f t="shared" si="16"/>
        <v>0</v>
      </c>
      <c r="O103" s="250">
        <f t="shared" si="16"/>
        <v>0</v>
      </c>
      <c r="P103" s="250">
        <f t="shared" si="16"/>
        <v>0</v>
      </c>
      <c r="Q103" s="250">
        <f t="shared" si="16"/>
        <v>0</v>
      </c>
      <c r="R103" s="250">
        <f t="shared" si="16"/>
        <v>0</v>
      </c>
      <c r="S103" s="250">
        <f t="shared" si="16"/>
        <v>0</v>
      </c>
    </row>
    <row r="104" spans="1:19" ht="20.25">
      <c r="A104" s="525" t="s">
        <v>320</v>
      </c>
      <c r="B104" s="238"/>
      <c r="C104" s="238"/>
      <c r="D104" s="233"/>
      <c r="E104" s="225"/>
      <c r="F104" s="225"/>
      <c r="G104" s="580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2"/>
    </row>
    <row r="105" spans="1:19" ht="20.25">
      <c r="A105" s="213" t="s">
        <v>322</v>
      </c>
      <c r="B105" s="231" t="s">
        <v>625</v>
      </c>
      <c r="C105" s="234" t="s">
        <v>362</v>
      </c>
      <c r="D105" s="212">
        <v>21300</v>
      </c>
      <c r="E105" s="230">
        <v>0</v>
      </c>
      <c r="F105" s="230">
        <f aca="true" t="shared" si="17" ref="F105:F114">D105-E105</f>
        <v>21300</v>
      </c>
      <c r="G105" s="580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2"/>
    </row>
    <row r="106" spans="1:19" ht="20.25">
      <c r="A106" s="235" t="s">
        <v>408</v>
      </c>
      <c r="B106" s="231" t="s">
        <v>363</v>
      </c>
      <c r="C106" s="256" t="s">
        <v>284</v>
      </c>
      <c r="D106" s="212">
        <v>10000</v>
      </c>
      <c r="E106" s="230">
        <v>0</v>
      </c>
      <c r="F106" s="230">
        <f t="shared" si="17"/>
        <v>10000</v>
      </c>
      <c r="G106" s="580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2"/>
    </row>
    <row r="107" spans="1:19" ht="20.25">
      <c r="A107" s="235" t="s">
        <v>586</v>
      </c>
      <c r="B107" s="231" t="s">
        <v>361</v>
      </c>
      <c r="C107" s="256" t="s">
        <v>284</v>
      </c>
      <c r="D107" s="212">
        <v>4000</v>
      </c>
      <c r="E107" s="230">
        <v>0</v>
      </c>
      <c r="F107" s="230">
        <f t="shared" si="17"/>
        <v>4000</v>
      </c>
      <c r="G107" s="580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2"/>
    </row>
    <row r="108" spans="1:19" ht="20.25">
      <c r="A108" s="236"/>
      <c r="B108" s="237"/>
      <c r="C108" s="237"/>
      <c r="D108" s="524"/>
      <c r="E108" s="226"/>
      <c r="F108" s="226">
        <f t="shared" si="17"/>
        <v>0</v>
      </c>
      <c r="G108" s="580"/>
      <c r="H108" s="581"/>
      <c r="I108" s="581"/>
      <c r="J108" s="581"/>
      <c r="K108" s="581"/>
      <c r="L108" s="581"/>
      <c r="M108" s="581"/>
      <c r="N108" s="581"/>
      <c r="O108" s="581"/>
      <c r="P108" s="581"/>
      <c r="Q108" s="581"/>
      <c r="R108" s="581"/>
      <c r="S108" s="582"/>
    </row>
    <row r="109" spans="1:6" ht="20.25">
      <c r="A109" s="223" t="s">
        <v>60</v>
      </c>
      <c r="B109" s="232"/>
      <c r="C109" s="232"/>
      <c r="D109" s="490">
        <f>SUM(D105:D108)</f>
        <v>35300</v>
      </c>
      <c r="E109" s="490">
        <f>SUM(E105:E108)</f>
        <v>0</v>
      </c>
      <c r="F109" s="491">
        <f t="shared" si="17"/>
        <v>35300</v>
      </c>
    </row>
    <row r="110" spans="1:19" ht="20.25">
      <c r="A110" s="222" t="s">
        <v>322</v>
      </c>
      <c r="B110" s="238" t="s">
        <v>625</v>
      </c>
      <c r="C110" s="239" t="s">
        <v>1069</v>
      </c>
      <c r="D110" s="221">
        <v>84600</v>
      </c>
      <c r="E110" s="225">
        <v>0</v>
      </c>
      <c r="F110" s="225">
        <f t="shared" si="17"/>
        <v>84600</v>
      </c>
      <c r="G110" s="580"/>
      <c r="H110" s="581"/>
      <c r="I110" s="581"/>
      <c r="J110" s="581"/>
      <c r="K110" s="581"/>
      <c r="L110" s="581"/>
      <c r="M110" s="581"/>
      <c r="N110" s="581"/>
      <c r="O110" s="581"/>
      <c r="P110" s="581"/>
      <c r="Q110" s="581"/>
      <c r="R110" s="581"/>
      <c r="S110" s="582"/>
    </row>
    <row r="111" spans="1:19" ht="20.25">
      <c r="A111" s="235" t="s">
        <v>408</v>
      </c>
      <c r="B111" s="231" t="s">
        <v>363</v>
      </c>
      <c r="C111" s="256" t="s">
        <v>284</v>
      </c>
      <c r="D111" s="212">
        <v>5000</v>
      </c>
      <c r="E111" s="230">
        <v>0</v>
      </c>
      <c r="F111" s="230">
        <f t="shared" si="17"/>
        <v>5000</v>
      </c>
      <c r="G111" s="580"/>
      <c r="H111" s="581"/>
      <c r="I111" s="581"/>
      <c r="J111" s="581"/>
      <c r="K111" s="581"/>
      <c r="L111" s="581"/>
      <c r="M111" s="581"/>
      <c r="N111" s="581"/>
      <c r="O111" s="581"/>
      <c r="P111" s="581"/>
      <c r="Q111" s="581"/>
      <c r="R111" s="581"/>
      <c r="S111" s="582"/>
    </row>
    <row r="112" spans="1:19" ht="20.25">
      <c r="A112" s="235" t="s">
        <v>586</v>
      </c>
      <c r="B112" s="231" t="s">
        <v>361</v>
      </c>
      <c r="C112" s="256" t="s">
        <v>284</v>
      </c>
      <c r="D112" s="212">
        <v>36000</v>
      </c>
      <c r="E112" s="213">
        <v>29800</v>
      </c>
      <c r="F112" s="230">
        <f t="shared" si="17"/>
        <v>6200</v>
      </c>
      <c r="G112" s="580"/>
      <c r="H112" s="581"/>
      <c r="I112" s="581"/>
      <c r="J112" s="581"/>
      <c r="K112" s="581"/>
      <c r="L112" s="581"/>
      <c r="M112" s="581"/>
      <c r="N112" s="581"/>
      <c r="O112" s="581"/>
      <c r="P112" s="581"/>
      <c r="Q112" s="581"/>
      <c r="R112" s="581"/>
      <c r="S112" s="582"/>
    </row>
    <row r="113" spans="1:19" ht="20.25">
      <c r="A113" s="236"/>
      <c r="B113" s="237"/>
      <c r="C113" s="237"/>
      <c r="D113" s="524"/>
      <c r="E113" s="226"/>
      <c r="F113" s="226">
        <f t="shared" si="17"/>
        <v>0</v>
      </c>
      <c r="G113" s="580"/>
      <c r="H113" s="581"/>
      <c r="I113" s="581"/>
      <c r="J113" s="581"/>
      <c r="K113" s="581"/>
      <c r="L113" s="581"/>
      <c r="M113" s="581"/>
      <c r="N113" s="581"/>
      <c r="O113" s="581"/>
      <c r="P113" s="581"/>
      <c r="Q113" s="581"/>
      <c r="R113" s="581"/>
      <c r="S113" s="582"/>
    </row>
    <row r="114" spans="1:6" ht="20.25">
      <c r="A114" s="223" t="s">
        <v>60</v>
      </c>
      <c r="B114" s="232"/>
      <c r="C114" s="232"/>
      <c r="D114" s="490">
        <f>SUM(D110:D113)</f>
        <v>125600</v>
      </c>
      <c r="E114" s="490">
        <f>SUM(E110:E113)</f>
        <v>29800</v>
      </c>
      <c r="F114" s="491">
        <f t="shared" si="17"/>
        <v>95800</v>
      </c>
    </row>
    <row r="115" spans="1:19" ht="20.25">
      <c r="A115" s="225" t="s">
        <v>320</v>
      </c>
      <c r="B115" s="238"/>
      <c r="C115" s="238"/>
      <c r="D115" s="233"/>
      <c r="E115" s="225"/>
      <c r="F115" s="225"/>
      <c r="K115" s="250">
        <f>SUM(K100:K103)</f>
        <v>0</v>
      </c>
      <c r="Q115" s="250">
        <f>SUM(Q100:Q103)</f>
        <v>0</v>
      </c>
      <c r="R115" s="250">
        <f>SUM(R100:R103)</f>
        <v>0</v>
      </c>
      <c r="S115" s="579"/>
    </row>
    <row r="116" spans="1:6" ht="20.25">
      <c r="A116" s="213" t="s">
        <v>322</v>
      </c>
      <c r="B116" s="231" t="s">
        <v>626</v>
      </c>
      <c r="C116" s="234" t="s">
        <v>323</v>
      </c>
      <c r="D116" s="212">
        <v>38000</v>
      </c>
      <c r="E116" s="213">
        <v>0</v>
      </c>
      <c r="F116" s="213">
        <f>D116-E116</f>
        <v>38000</v>
      </c>
    </row>
    <row r="117" spans="1:19" ht="20.25">
      <c r="A117" s="235" t="s">
        <v>408</v>
      </c>
      <c r="B117" s="231"/>
      <c r="C117" s="231" t="s">
        <v>87</v>
      </c>
      <c r="D117" s="212">
        <v>5000</v>
      </c>
      <c r="E117" s="213"/>
      <c r="F117" s="213">
        <f>D117-E117</f>
        <v>5000</v>
      </c>
      <c r="S117" s="579"/>
    </row>
    <row r="118" spans="1:6" ht="20.25">
      <c r="A118" s="235" t="s">
        <v>409</v>
      </c>
      <c r="B118" s="237"/>
      <c r="C118" s="231" t="s">
        <v>87</v>
      </c>
      <c r="D118" s="212">
        <v>9600</v>
      </c>
      <c r="E118" s="213"/>
      <c r="F118" s="213"/>
    </row>
    <row r="119" spans="1:19" ht="20.25">
      <c r="A119" s="235" t="s">
        <v>392</v>
      </c>
      <c r="B119" s="231"/>
      <c r="C119" s="231" t="s">
        <v>87</v>
      </c>
      <c r="D119" s="212">
        <v>42000</v>
      </c>
      <c r="E119" s="213"/>
      <c r="F119" s="213"/>
      <c r="S119" s="579"/>
    </row>
    <row r="120" spans="1:19" ht="20.25">
      <c r="A120" s="223" t="s">
        <v>60</v>
      </c>
      <c r="B120" s="232"/>
      <c r="C120" s="232"/>
      <c r="D120" s="490">
        <f>SUM(D116:D119)</f>
        <v>94600</v>
      </c>
      <c r="E120" s="491">
        <f>SUM(E116:E119)</f>
        <v>0</v>
      </c>
      <c r="F120" s="491">
        <f>D120-E120</f>
        <v>94600</v>
      </c>
      <c r="G120" s="250">
        <f aca="true" t="shared" si="18" ref="G120:S120">SUM(G116:G119)</f>
        <v>0</v>
      </c>
      <c r="H120" s="250">
        <f t="shared" si="18"/>
        <v>0</v>
      </c>
      <c r="I120" s="250">
        <f t="shared" si="18"/>
        <v>0</v>
      </c>
      <c r="J120" s="250">
        <f t="shared" si="18"/>
        <v>0</v>
      </c>
      <c r="K120" s="250">
        <f t="shared" si="18"/>
        <v>0</v>
      </c>
      <c r="L120" s="250">
        <f t="shared" si="18"/>
        <v>0</v>
      </c>
      <c r="M120" s="250">
        <f t="shared" si="18"/>
        <v>0</v>
      </c>
      <c r="N120" s="250">
        <f t="shared" si="18"/>
        <v>0</v>
      </c>
      <c r="O120" s="250">
        <f t="shared" si="18"/>
        <v>0</v>
      </c>
      <c r="P120" s="250">
        <f t="shared" si="18"/>
        <v>0</v>
      </c>
      <c r="Q120" s="250">
        <f t="shared" si="18"/>
        <v>0</v>
      </c>
      <c r="R120" s="250">
        <f t="shared" si="18"/>
        <v>0</v>
      </c>
      <c r="S120" s="250">
        <f t="shared" si="18"/>
        <v>0</v>
      </c>
    </row>
    <row r="121" spans="1:6" ht="20.25">
      <c r="A121" s="525" t="s">
        <v>320</v>
      </c>
      <c r="B121" s="238"/>
      <c r="C121" s="238"/>
      <c r="D121" s="233"/>
      <c r="E121" s="225"/>
      <c r="F121" s="225"/>
    </row>
    <row r="122" spans="1:6" ht="20.25">
      <c r="A122" s="213" t="s">
        <v>322</v>
      </c>
      <c r="B122" s="231" t="s">
        <v>620</v>
      </c>
      <c r="C122" s="495" t="s">
        <v>388</v>
      </c>
      <c r="D122" s="212">
        <v>36100</v>
      </c>
      <c r="E122" s="230">
        <v>0</v>
      </c>
      <c r="F122" s="230">
        <f>D122-E122</f>
        <v>36100</v>
      </c>
    </row>
    <row r="123" spans="1:6" ht="20.25">
      <c r="A123" s="235" t="s">
        <v>588</v>
      </c>
      <c r="B123" s="231" t="s">
        <v>387</v>
      </c>
      <c r="C123" s="231" t="s">
        <v>87</v>
      </c>
      <c r="D123" s="212">
        <v>10000</v>
      </c>
      <c r="E123" s="230">
        <v>0</v>
      </c>
      <c r="F123" s="230">
        <f>D123-E123</f>
        <v>10000</v>
      </c>
    </row>
    <row r="124" spans="1:6" ht="20.25">
      <c r="A124" s="235" t="s">
        <v>409</v>
      </c>
      <c r="B124" s="231"/>
      <c r="C124" s="231" t="s">
        <v>87</v>
      </c>
      <c r="D124" s="212">
        <f>13600-10920</f>
        <v>2680</v>
      </c>
      <c r="E124" s="230"/>
      <c r="F124" s="230">
        <f>D124-E124</f>
        <v>2680</v>
      </c>
    </row>
    <row r="125" spans="1:6" ht="20.25">
      <c r="A125" s="236" t="s">
        <v>392</v>
      </c>
      <c r="B125" s="237"/>
      <c r="C125" s="231" t="s">
        <v>87</v>
      </c>
      <c r="D125" s="505">
        <v>42000</v>
      </c>
      <c r="E125" s="217">
        <v>36000</v>
      </c>
      <c r="F125" s="226">
        <f>D125-E125</f>
        <v>6000</v>
      </c>
    </row>
    <row r="126" spans="1:6" ht="20.25">
      <c r="A126" s="223" t="s">
        <v>60</v>
      </c>
      <c r="B126" s="232"/>
      <c r="C126" s="232"/>
      <c r="D126" s="490">
        <f>SUM(D122:D125)</f>
        <v>90780</v>
      </c>
      <c r="E126" s="490">
        <f>SUM(E122:E125)</f>
        <v>36000</v>
      </c>
      <c r="F126" s="491">
        <f>D126-E126</f>
        <v>54780</v>
      </c>
    </row>
    <row r="127" spans="1:6" ht="20.25">
      <c r="A127" s="525" t="s">
        <v>320</v>
      </c>
      <c r="B127" s="238"/>
      <c r="C127" s="238"/>
      <c r="D127" s="233"/>
      <c r="E127" s="233"/>
      <c r="F127" s="225"/>
    </row>
    <row r="128" spans="1:6" ht="20.25">
      <c r="A128" s="213" t="s">
        <v>322</v>
      </c>
      <c r="B128" s="231" t="s">
        <v>627</v>
      </c>
      <c r="C128" s="495" t="s">
        <v>328</v>
      </c>
      <c r="D128" s="212">
        <v>23800</v>
      </c>
      <c r="E128" s="229">
        <v>0</v>
      </c>
      <c r="F128" s="230">
        <f aca="true" t="shared" si="19" ref="F128:F133">D128-E128</f>
        <v>23800</v>
      </c>
    </row>
    <row r="129" spans="1:6" ht="20.25">
      <c r="A129" s="488" t="s">
        <v>588</v>
      </c>
      <c r="B129" s="231" t="s">
        <v>111</v>
      </c>
      <c r="C129" s="231" t="s">
        <v>87</v>
      </c>
      <c r="D129" s="212">
        <v>2000</v>
      </c>
      <c r="E129" s="229">
        <v>0</v>
      </c>
      <c r="F129" s="230">
        <f>D129-E129</f>
        <v>2000</v>
      </c>
    </row>
    <row r="130" spans="1:6" ht="20.25">
      <c r="A130" s="526" t="s">
        <v>587</v>
      </c>
      <c r="B130" s="231"/>
      <c r="C130" s="231" t="s">
        <v>87</v>
      </c>
      <c r="D130" s="475">
        <f>36000-36000</f>
        <v>0</v>
      </c>
      <c r="E130" s="229">
        <v>0</v>
      </c>
      <c r="F130" s="230">
        <f>D130-E130</f>
        <v>0</v>
      </c>
    </row>
    <row r="131" spans="1:6" ht="20.25">
      <c r="A131" s="488" t="s">
        <v>1060</v>
      </c>
      <c r="B131" s="231"/>
      <c r="C131" s="231" t="s">
        <v>87</v>
      </c>
      <c r="D131" s="212">
        <v>10000</v>
      </c>
      <c r="E131" s="229">
        <v>0</v>
      </c>
      <c r="F131" s="230">
        <f t="shared" si="19"/>
        <v>10000</v>
      </c>
    </row>
    <row r="132" spans="1:6" ht="20.25">
      <c r="A132" s="223" t="s">
        <v>60</v>
      </c>
      <c r="B132" s="232"/>
      <c r="C132" s="232"/>
      <c r="D132" s="490">
        <f>SUM(D128:D131)</f>
        <v>35800</v>
      </c>
      <c r="E132" s="490">
        <f>SUM(E128:E131)</f>
        <v>0</v>
      </c>
      <c r="F132" s="491">
        <f t="shared" si="19"/>
        <v>35800</v>
      </c>
    </row>
    <row r="133" spans="1:19" ht="20.25">
      <c r="A133" s="223" t="s">
        <v>324</v>
      </c>
      <c r="B133" s="223"/>
      <c r="C133" s="223"/>
      <c r="D133" s="490">
        <f>D132+D126+D120+D114+D109+D103+D97+D91+D88</f>
        <v>1141080</v>
      </c>
      <c r="E133" s="490">
        <f>E88+E91+E97+E103+E109+E114+E120+E126+E132</f>
        <v>386500</v>
      </c>
      <c r="F133" s="491">
        <f t="shared" si="19"/>
        <v>754580</v>
      </c>
      <c r="G133" s="250">
        <f aca="true" t="shared" si="20" ref="G133:S133">G120+G103+G97+G88</f>
        <v>0</v>
      </c>
      <c r="H133" s="250">
        <f t="shared" si="20"/>
        <v>0</v>
      </c>
      <c r="I133" s="250">
        <f t="shared" si="20"/>
        <v>0</v>
      </c>
      <c r="J133" s="250">
        <f t="shared" si="20"/>
        <v>0</v>
      </c>
      <c r="K133" s="250">
        <f t="shared" si="20"/>
        <v>0</v>
      </c>
      <c r="L133" s="250">
        <f t="shared" si="20"/>
        <v>0</v>
      </c>
      <c r="M133" s="250">
        <f t="shared" si="20"/>
        <v>0</v>
      </c>
      <c r="N133" s="250">
        <f t="shared" si="20"/>
        <v>0</v>
      </c>
      <c r="O133" s="250">
        <f t="shared" si="20"/>
        <v>0</v>
      </c>
      <c r="P133" s="250">
        <f t="shared" si="20"/>
        <v>0</v>
      </c>
      <c r="Q133" s="250">
        <f t="shared" si="20"/>
        <v>0</v>
      </c>
      <c r="R133" s="250">
        <f t="shared" si="20"/>
        <v>0</v>
      </c>
      <c r="S133" s="250">
        <f t="shared" si="20"/>
        <v>0</v>
      </c>
    </row>
    <row r="134" spans="1:6" ht="20.25">
      <c r="A134" s="492" t="s">
        <v>325</v>
      </c>
      <c r="B134" s="494"/>
      <c r="C134" s="494"/>
      <c r="D134" s="209"/>
      <c r="E134" s="494"/>
      <c r="F134" s="494"/>
    </row>
    <row r="135" spans="1:20" ht="20.25">
      <c r="A135" s="213" t="s">
        <v>326</v>
      </c>
      <c r="B135" s="231" t="s">
        <v>306</v>
      </c>
      <c r="C135" s="495" t="s">
        <v>327</v>
      </c>
      <c r="D135" s="212">
        <v>500000</v>
      </c>
      <c r="E135" s="213">
        <f>377351+9000+9000+300+5100</f>
        <v>400751</v>
      </c>
      <c r="F135" s="213">
        <f>D135-E135</f>
        <v>99249</v>
      </c>
      <c r="T135" s="577"/>
    </row>
    <row r="136" spans="1:29" s="250" customFormat="1" ht="20.25">
      <c r="A136" s="488" t="s">
        <v>589</v>
      </c>
      <c r="B136" s="211"/>
      <c r="C136" s="231" t="s">
        <v>284</v>
      </c>
      <c r="D136" s="212">
        <v>70000</v>
      </c>
      <c r="E136" s="213">
        <v>58695</v>
      </c>
      <c r="F136" s="213">
        <f>D136-E136</f>
        <v>11305</v>
      </c>
      <c r="T136" s="572"/>
      <c r="U136" s="572"/>
      <c r="V136" s="572"/>
      <c r="W136" s="572"/>
      <c r="X136" s="572"/>
      <c r="Y136" s="572"/>
      <c r="Z136" s="572"/>
      <c r="AA136" s="572"/>
      <c r="AB136" s="572"/>
      <c r="AC136" s="572"/>
    </row>
    <row r="137" spans="1:6" ht="20.25">
      <c r="A137" s="488" t="s">
        <v>419</v>
      </c>
      <c r="B137" s="211"/>
      <c r="C137" s="231" t="s">
        <v>284</v>
      </c>
      <c r="D137" s="212"/>
      <c r="E137" s="213"/>
      <c r="F137" s="213">
        <f>D137-E137</f>
        <v>0</v>
      </c>
    </row>
    <row r="138" spans="1:6" ht="20.25">
      <c r="A138" s="488" t="s">
        <v>420</v>
      </c>
      <c r="B138" s="211"/>
      <c r="C138" s="231" t="s">
        <v>284</v>
      </c>
      <c r="D138" s="212">
        <v>100000</v>
      </c>
      <c r="E138" s="213">
        <v>24516</v>
      </c>
      <c r="F138" s="213">
        <f>D138-E138</f>
        <v>75484</v>
      </c>
    </row>
    <row r="139" spans="1:6" ht="20.25">
      <c r="A139" s="488" t="s">
        <v>421</v>
      </c>
      <c r="B139" s="211"/>
      <c r="C139" s="231" t="s">
        <v>284</v>
      </c>
      <c r="D139" s="212">
        <v>56800</v>
      </c>
      <c r="E139" s="213">
        <v>6750</v>
      </c>
      <c r="F139" s="213">
        <f aca="true" t="shared" si="21" ref="F139:F157">D139-E139</f>
        <v>50050</v>
      </c>
    </row>
    <row r="140" spans="1:6" ht="20.25">
      <c r="A140" s="277" t="s">
        <v>758</v>
      </c>
      <c r="B140" s="211"/>
      <c r="C140" s="231" t="s">
        <v>284</v>
      </c>
      <c r="D140" s="212">
        <f>300000-212500-30000</f>
        <v>57500</v>
      </c>
      <c r="E140" s="213">
        <v>0</v>
      </c>
      <c r="F140" s="213">
        <f t="shared" si="21"/>
        <v>57500</v>
      </c>
    </row>
    <row r="141" spans="1:6" ht="20.25">
      <c r="A141" s="277" t="s">
        <v>760</v>
      </c>
      <c r="B141" s="211"/>
      <c r="C141" s="231" t="s">
        <v>284</v>
      </c>
      <c r="D141" s="212">
        <v>20000</v>
      </c>
      <c r="E141" s="213">
        <v>0</v>
      </c>
      <c r="F141" s="213">
        <f t="shared" si="21"/>
        <v>20000</v>
      </c>
    </row>
    <row r="142" spans="1:6" ht="20.25">
      <c r="A142" s="277" t="s">
        <v>759</v>
      </c>
      <c r="B142" s="211"/>
      <c r="C142" s="231" t="s">
        <v>284</v>
      </c>
      <c r="D142" s="212">
        <v>50000</v>
      </c>
      <c r="E142" s="213">
        <v>18895</v>
      </c>
      <c r="F142" s="213">
        <f t="shared" si="21"/>
        <v>31105</v>
      </c>
    </row>
    <row r="143" spans="1:6" ht="20.25">
      <c r="A143" s="277" t="s">
        <v>761</v>
      </c>
      <c r="B143" s="211"/>
      <c r="C143" s="231" t="s">
        <v>284</v>
      </c>
      <c r="D143" s="212">
        <v>20000</v>
      </c>
      <c r="E143" s="213">
        <v>0</v>
      </c>
      <c r="F143" s="213">
        <f t="shared" si="21"/>
        <v>20000</v>
      </c>
    </row>
    <row r="144" spans="1:6" ht="20.25">
      <c r="A144" s="277" t="s">
        <v>762</v>
      </c>
      <c r="B144" s="211"/>
      <c r="C144" s="231" t="s">
        <v>284</v>
      </c>
      <c r="D144" s="212">
        <v>50000</v>
      </c>
      <c r="E144" s="213">
        <v>5860</v>
      </c>
      <c r="F144" s="213">
        <f t="shared" si="21"/>
        <v>44140</v>
      </c>
    </row>
    <row r="145" spans="1:6" ht="20.25">
      <c r="A145" s="277" t="s">
        <v>763</v>
      </c>
      <c r="B145" s="211"/>
      <c r="C145" s="231" t="s">
        <v>284</v>
      </c>
      <c r="D145" s="212">
        <v>10000</v>
      </c>
      <c r="E145" s="213">
        <v>4680</v>
      </c>
      <c r="F145" s="213">
        <f t="shared" si="21"/>
        <v>5320</v>
      </c>
    </row>
    <row r="146" spans="1:6" ht="20.25">
      <c r="A146" s="277" t="s">
        <v>764</v>
      </c>
      <c r="B146" s="211"/>
      <c r="C146" s="231" t="s">
        <v>284</v>
      </c>
      <c r="D146" s="212">
        <v>20000</v>
      </c>
      <c r="E146" s="213">
        <v>13760</v>
      </c>
      <c r="F146" s="213">
        <f t="shared" si="21"/>
        <v>6240</v>
      </c>
    </row>
    <row r="147" spans="1:6" ht="20.25">
      <c r="A147" s="527" t="s">
        <v>590</v>
      </c>
      <c r="B147" s="489"/>
      <c r="C147" s="497" t="s">
        <v>284</v>
      </c>
      <c r="D147" s="475">
        <f>140000-50000+30000</f>
        <v>120000</v>
      </c>
      <c r="E147" s="215">
        <v>107740</v>
      </c>
      <c r="F147" s="215">
        <f t="shared" si="21"/>
        <v>12260</v>
      </c>
    </row>
    <row r="148" spans="1:29" s="250" customFormat="1" ht="20.25">
      <c r="A148" s="223" t="s">
        <v>60</v>
      </c>
      <c r="B148" s="241"/>
      <c r="C148" s="232"/>
      <c r="D148" s="507">
        <f>SUM(D135:D147)</f>
        <v>1074300</v>
      </c>
      <c r="E148" s="507">
        <f>SUM(E135:E147)</f>
        <v>641647</v>
      </c>
      <c r="F148" s="224">
        <f t="shared" si="21"/>
        <v>432653</v>
      </c>
      <c r="T148" s="572"/>
      <c r="U148" s="572"/>
      <c r="V148" s="572"/>
      <c r="W148" s="572"/>
      <c r="X148" s="572"/>
      <c r="Y148" s="572"/>
      <c r="Z148" s="572"/>
      <c r="AA148" s="572"/>
      <c r="AB148" s="572"/>
      <c r="AC148" s="572"/>
    </row>
    <row r="149" spans="1:29" s="250" customFormat="1" ht="20.25">
      <c r="A149" s="477" t="s">
        <v>410</v>
      </c>
      <c r="B149" s="238" t="s">
        <v>306</v>
      </c>
      <c r="C149" s="510" t="s">
        <v>411</v>
      </c>
      <c r="D149" s="221"/>
      <c r="E149" s="222"/>
      <c r="F149" s="222">
        <f t="shared" si="21"/>
        <v>0</v>
      </c>
      <c r="T149" s="572"/>
      <c r="U149" s="572"/>
      <c r="V149" s="572"/>
      <c r="W149" s="572"/>
      <c r="X149" s="572"/>
      <c r="Y149" s="572"/>
      <c r="Z149" s="572"/>
      <c r="AA149" s="572"/>
      <c r="AB149" s="572"/>
      <c r="AC149" s="572"/>
    </row>
    <row r="150" spans="1:29" s="250" customFormat="1" ht="20.25">
      <c r="A150" s="488" t="s">
        <v>595</v>
      </c>
      <c r="B150" s="211"/>
      <c r="C150" s="528" t="s">
        <v>308</v>
      </c>
      <c r="D150" s="212">
        <v>20000</v>
      </c>
      <c r="E150" s="213">
        <v>6000</v>
      </c>
      <c r="F150" s="213">
        <f t="shared" si="21"/>
        <v>14000</v>
      </c>
      <c r="T150" s="572"/>
      <c r="U150" s="572"/>
      <c r="V150" s="572"/>
      <c r="W150" s="572"/>
      <c r="X150" s="572"/>
      <c r="Y150" s="572"/>
      <c r="Z150" s="572"/>
      <c r="AA150" s="572"/>
      <c r="AB150" s="572"/>
      <c r="AC150" s="572"/>
    </row>
    <row r="151" spans="1:29" s="250" customFormat="1" ht="20.25">
      <c r="A151" s="488" t="s">
        <v>596</v>
      </c>
      <c r="B151" s="211"/>
      <c r="C151" s="528" t="s">
        <v>308</v>
      </c>
      <c r="D151" s="212">
        <v>20000</v>
      </c>
      <c r="E151" s="213">
        <v>8800</v>
      </c>
      <c r="F151" s="213">
        <f t="shared" si="21"/>
        <v>11200</v>
      </c>
      <c r="T151" s="572"/>
      <c r="U151" s="572"/>
      <c r="V151" s="572"/>
      <c r="W151" s="572"/>
      <c r="X151" s="572"/>
      <c r="Y151" s="572"/>
      <c r="Z151" s="572"/>
      <c r="AA151" s="572"/>
      <c r="AB151" s="572"/>
      <c r="AC151" s="572"/>
    </row>
    <row r="152" spans="1:29" s="250" customFormat="1" ht="20.25">
      <c r="A152" s="488" t="s">
        <v>412</v>
      </c>
      <c r="B152" s="211"/>
      <c r="C152" s="528" t="s">
        <v>308</v>
      </c>
      <c r="D152" s="212">
        <v>30000</v>
      </c>
      <c r="E152" s="213">
        <v>900</v>
      </c>
      <c r="F152" s="213">
        <f t="shared" si="21"/>
        <v>29100</v>
      </c>
      <c r="T152" s="572"/>
      <c r="U152" s="572"/>
      <c r="V152" s="572"/>
      <c r="W152" s="572"/>
      <c r="X152" s="572"/>
      <c r="Y152" s="572"/>
      <c r="Z152" s="572"/>
      <c r="AA152" s="572"/>
      <c r="AB152" s="572"/>
      <c r="AC152" s="572"/>
    </row>
    <row r="153" spans="1:29" s="250" customFormat="1" ht="20.25">
      <c r="A153" s="488" t="s">
        <v>413</v>
      </c>
      <c r="B153" s="211"/>
      <c r="C153" s="528" t="s">
        <v>308</v>
      </c>
      <c r="D153" s="212">
        <v>10000</v>
      </c>
      <c r="E153" s="213">
        <v>800</v>
      </c>
      <c r="F153" s="213">
        <f t="shared" si="21"/>
        <v>9200</v>
      </c>
      <c r="T153" s="572"/>
      <c r="U153" s="572"/>
      <c r="V153" s="572"/>
      <c r="W153" s="572"/>
      <c r="X153" s="572"/>
      <c r="Y153" s="572"/>
      <c r="Z153" s="572"/>
      <c r="AA153" s="572"/>
      <c r="AB153" s="572"/>
      <c r="AC153" s="572"/>
    </row>
    <row r="154" spans="1:29" s="250" customFormat="1" ht="20.25">
      <c r="A154" s="488" t="s">
        <v>414</v>
      </c>
      <c r="B154" s="211"/>
      <c r="C154" s="528" t="s">
        <v>308</v>
      </c>
      <c r="D154" s="212">
        <v>20000</v>
      </c>
      <c r="E154" s="213">
        <v>0</v>
      </c>
      <c r="F154" s="213">
        <f t="shared" si="21"/>
        <v>20000</v>
      </c>
      <c r="T154" s="572"/>
      <c r="U154" s="572"/>
      <c r="V154" s="572"/>
      <c r="W154" s="572"/>
      <c r="X154" s="572"/>
      <c r="Y154" s="572"/>
      <c r="Z154" s="572"/>
      <c r="AA154" s="572"/>
      <c r="AB154" s="572"/>
      <c r="AC154" s="572"/>
    </row>
    <row r="155" spans="1:6" ht="20.25">
      <c r="A155" s="488" t="s">
        <v>415</v>
      </c>
      <c r="B155" s="211"/>
      <c r="C155" s="528" t="s">
        <v>308</v>
      </c>
      <c r="D155" s="212">
        <v>50000</v>
      </c>
      <c r="E155" s="213">
        <v>22390</v>
      </c>
      <c r="F155" s="213">
        <f t="shared" si="21"/>
        <v>27610</v>
      </c>
    </row>
    <row r="156" spans="1:6" ht="20.25">
      <c r="A156" s="518" t="s">
        <v>597</v>
      </c>
      <c r="B156" s="504"/>
      <c r="C156" s="528" t="s">
        <v>308</v>
      </c>
      <c r="D156" s="505">
        <v>50000</v>
      </c>
      <c r="E156" s="217"/>
      <c r="F156" s="217">
        <f t="shared" si="21"/>
        <v>50000</v>
      </c>
    </row>
    <row r="157" spans="1:6" ht="20.25">
      <c r="A157" s="223" t="s">
        <v>60</v>
      </c>
      <c r="B157" s="241"/>
      <c r="C157" s="242"/>
      <c r="D157" s="507">
        <f>SUM(D149:D156)</f>
        <v>200000</v>
      </c>
      <c r="E157" s="507">
        <f>SUM(E150:E156)</f>
        <v>38890</v>
      </c>
      <c r="F157" s="507">
        <f t="shared" si="21"/>
        <v>161110</v>
      </c>
    </row>
    <row r="158" spans="1:6" ht="20.25">
      <c r="A158" s="225" t="s">
        <v>325</v>
      </c>
      <c r="B158" s="244"/>
      <c r="C158" s="257"/>
      <c r="D158" s="221"/>
      <c r="E158" s="222"/>
      <c r="F158" s="222"/>
    </row>
    <row r="159" spans="1:6" ht="20.25">
      <c r="A159" s="213" t="s">
        <v>326</v>
      </c>
      <c r="B159" s="256" t="s">
        <v>315</v>
      </c>
      <c r="C159" s="211" t="s">
        <v>329</v>
      </c>
      <c r="D159" s="212">
        <v>250000</v>
      </c>
      <c r="E159" s="213">
        <v>99351</v>
      </c>
      <c r="F159" s="213">
        <f aca="true" t="shared" si="22" ref="F159:F175">D159-E159</f>
        <v>150649</v>
      </c>
    </row>
    <row r="160" spans="1:6" ht="20.25">
      <c r="A160" s="488" t="s">
        <v>591</v>
      </c>
      <c r="B160" s="529"/>
      <c r="C160" s="231" t="s">
        <v>284</v>
      </c>
      <c r="D160" s="328"/>
      <c r="E160" s="243"/>
      <c r="F160" s="252">
        <f t="shared" si="22"/>
        <v>0</v>
      </c>
    </row>
    <row r="161" spans="1:20" ht="20.25">
      <c r="A161" s="488" t="s">
        <v>592</v>
      </c>
      <c r="B161" s="529"/>
      <c r="C161" s="231" t="s">
        <v>284</v>
      </c>
      <c r="D161" s="212">
        <v>5000</v>
      </c>
      <c r="E161" s="230"/>
      <c r="F161" s="213">
        <f t="shared" si="22"/>
        <v>5000</v>
      </c>
      <c r="T161" s="583"/>
    </row>
    <row r="162" spans="1:6" ht="20.25">
      <c r="A162" s="488" t="s">
        <v>765</v>
      </c>
      <c r="B162" s="529"/>
      <c r="C162" s="231" t="s">
        <v>284</v>
      </c>
      <c r="D162" s="328">
        <f>200000-42000-22710</f>
        <v>135290</v>
      </c>
      <c r="E162" s="243">
        <v>0</v>
      </c>
      <c r="F162" s="252">
        <f t="shared" si="22"/>
        <v>135290</v>
      </c>
    </row>
    <row r="163" spans="1:6" ht="20.25">
      <c r="A163" s="488" t="s">
        <v>593</v>
      </c>
      <c r="B163" s="529"/>
      <c r="C163" s="231" t="s">
        <v>284</v>
      </c>
      <c r="D163" s="328">
        <v>40000</v>
      </c>
      <c r="E163" s="243">
        <v>24168</v>
      </c>
      <c r="F163" s="252">
        <f t="shared" si="22"/>
        <v>15832</v>
      </c>
    </row>
    <row r="164" spans="1:6" ht="20.25">
      <c r="A164" s="518" t="s">
        <v>594</v>
      </c>
      <c r="B164" s="530"/>
      <c r="C164" s="237" t="s">
        <v>284</v>
      </c>
      <c r="D164" s="505">
        <f>10000+10000</f>
        <v>20000</v>
      </c>
      <c r="E164" s="217">
        <v>1000</v>
      </c>
      <c r="F164" s="217">
        <f t="shared" si="22"/>
        <v>19000</v>
      </c>
    </row>
    <row r="165" spans="1:19" ht="20.25">
      <c r="A165" s="223" t="s">
        <v>60</v>
      </c>
      <c r="B165" s="232"/>
      <c r="C165" s="232"/>
      <c r="D165" s="490">
        <f>SUM(D159:D164)</f>
        <v>450290</v>
      </c>
      <c r="E165" s="491">
        <f>SUM(E159:E164)</f>
        <v>124519</v>
      </c>
      <c r="F165" s="531">
        <f t="shared" si="22"/>
        <v>325771</v>
      </c>
      <c r="G165" s="250">
        <f aca="true" t="shared" si="23" ref="G165:S165">SUM(G159:G164)</f>
        <v>0</v>
      </c>
      <c r="H165" s="250">
        <f t="shared" si="23"/>
        <v>0</v>
      </c>
      <c r="I165" s="250">
        <f t="shared" si="23"/>
        <v>0</v>
      </c>
      <c r="J165" s="250">
        <f t="shared" si="23"/>
        <v>0</v>
      </c>
      <c r="K165" s="250">
        <f t="shared" si="23"/>
        <v>0</v>
      </c>
      <c r="L165" s="250">
        <f t="shared" si="23"/>
        <v>0</v>
      </c>
      <c r="M165" s="250">
        <f t="shared" si="23"/>
        <v>0</v>
      </c>
      <c r="N165" s="250">
        <f t="shared" si="23"/>
        <v>0</v>
      </c>
      <c r="O165" s="250">
        <f t="shared" si="23"/>
        <v>0</v>
      </c>
      <c r="P165" s="250">
        <f t="shared" si="23"/>
        <v>0</v>
      </c>
      <c r="Q165" s="250">
        <f t="shared" si="23"/>
        <v>0</v>
      </c>
      <c r="R165" s="250">
        <f t="shared" si="23"/>
        <v>0</v>
      </c>
      <c r="S165" s="250">
        <f t="shared" si="23"/>
        <v>0</v>
      </c>
    </row>
    <row r="166" spans="1:6" ht="20.25">
      <c r="A166" s="210" t="s">
        <v>364</v>
      </c>
      <c r="B166" s="494" t="s">
        <v>625</v>
      </c>
      <c r="C166" s="532" t="s">
        <v>362</v>
      </c>
      <c r="D166" s="209">
        <f>320000+80000-15000</f>
        <v>385000</v>
      </c>
      <c r="E166" s="210">
        <v>258073</v>
      </c>
      <c r="F166" s="210">
        <f t="shared" si="22"/>
        <v>126927</v>
      </c>
    </row>
    <row r="167" spans="1:6" ht="20.25">
      <c r="A167" s="213" t="s">
        <v>365</v>
      </c>
      <c r="B167" s="211" t="s">
        <v>363</v>
      </c>
      <c r="C167" s="231" t="s">
        <v>284</v>
      </c>
      <c r="D167" s="212">
        <v>10000</v>
      </c>
      <c r="E167" s="213">
        <v>0</v>
      </c>
      <c r="F167" s="213">
        <f t="shared" si="22"/>
        <v>10000</v>
      </c>
    </row>
    <row r="168" spans="1:6" ht="20.25">
      <c r="A168" s="213" t="s">
        <v>366</v>
      </c>
      <c r="B168" s="211" t="s">
        <v>361</v>
      </c>
      <c r="C168" s="231" t="s">
        <v>284</v>
      </c>
      <c r="D168" s="212">
        <v>0</v>
      </c>
      <c r="E168" s="213"/>
      <c r="F168" s="213">
        <f t="shared" si="22"/>
        <v>0</v>
      </c>
    </row>
    <row r="169" spans="1:6" ht="20.25">
      <c r="A169" s="277" t="s">
        <v>766</v>
      </c>
      <c r="B169" s="211"/>
      <c r="C169" s="231" t="s">
        <v>284</v>
      </c>
      <c r="D169" s="212">
        <v>30000</v>
      </c>
      <c r="E169" s="213">
        <v>0</v>
      </c>
      <c r="F169" s="213">
        <f t="shared" si="22"/>
        <v>30000</v>
      </c>
    </row>
    <row r="170" spans="1:6" ht="20.25">
      <c r="A170" s="279" t="s">
        <v>767</v>
      </c>
      <c r="B170" s="211"/>
      <c r="C170" s="231" t="s">
        <v>284</v>
      </c>
      <c r="D170" s="212">
        <v>30000</v>
      </c>
      <c r="E170" s="213">
        <v>27940</v>
      </c>
      <c r="F170" s="213">
        <f t="shared" si="22"/>
        <v>2060</v>
      </c>
    </row>
    <row r="171" spans="1:6" ht="20.25">
      <c r="A171" s="279" t="s">
        <v>768</v>
      </c>
      <c r="B171" s="211"/>
      <c r="C171" s="231" t="s">
        <v>284</v>
      </c>
      <c r="D171" s="212">
        <v>30000</v>
      </c>
      <c r="E171" s="213">
        <v>0</v>
      </c>
      <c r="F171" s="213">
        <f t="shared" si="22"/>
        <v>30000</v>
      </c>
    </row>
    <row r="172" spans="1:6" ht="20.25">
      <c r="A172" s="279" t="s">
        <v>769</v>
      </c>
      <c r="B172" s="211"/>
      <c r="C172" s="231" t="s">
        <v>284</v>
      </c>
      <c r="D172" s="212">
        <v>30000</v>
      </c>
      <c r="E172" s="213">
        <v>0</v>
      </c>
      <c r="F172" s="213">
        <f t="shared" si="22"/>
        <v>30000</v>
      </c>
    </row>
    <row r="173" spans="1:6" ht="20.25">
      <c r="A173" s="488" t="s">
        <v>770</v>
      </c>
      <c r="B173" s="211"/>
      <c r="C173" s="231" t="s">
        <v>284</v>
      </c>
      <c r="D173" s="212">
        <f>20000+15000</f>
        <v>35000</v>
      </c>
      <c r="E173" s="213">
        <v>16732</v>
      </c>
      <c r="F173" s="213">
        <f t="shared" si="22"/>
        <v>18268</v>
      </c>
    </row>
    <row r="174" spans="1:6" ht="20.25">
      <c r="A174" s="527" t="s">
        <v>590</v>
      </c>
      <c r="B174" s="489"/>
      <c r="C174" s="231" t="s">
        <v>284</v>
      </c>
      <c r="D174" s="475">
        <v>10000</v>
      </c>
      <c r="E174" s="215">
        <v>2900</v>
      </c>
      <c r="F174" s="215">
        <f t="shared" si="22"/>
        <v>7100</v>
      </c>
    </row>
    <row r="175" spans="1:6" ht="20.25">
      <c r="A175" s="223" t="s">
        <v>60</v>
      </c>
      <c r="B175" s="241"/>
      <c r="C175" s="232"/>
      <c r="D175" s="507">
        <f>SUM(D166:D174)</f>
        <v>560000</v>
      </c>
      <c r="E175" s="507">
        <f>SUM(E166:E174)</f>
        <v>305645</v>
      </c>
      <c r="F175" s="224">
        <f t="shared" si="22"/>
        <v>254355</v>
      </c>
    </row>
    <row r="176" spans="1:6" ht="20.25">
      <c r="A176" s="488" t="s">
        <v>598</v>
      </c>
      <c r="B176" s="211" t="s">
        <v>625</v>
      </c>
      <c r="C176" s="234" t="s">
        <v>371</v>
      </c>
      <c r="D176" s="212"/>
      <c r="E176" s="213"/>
      <c r="F176" s="213"/>
    </row>
    <row r="177" spans="1:6" ht="20.25">
      <c r="A177" s="488" t="s">
        <v>599</v>
      </c>
      <c r="B177" s="211" t="s">
        <v>363</v>
      </c>
      <c r="C177" s="231" t="s">
        <v>284</v>
      </c>
      <c r="D177" s="212">
        <f>490000+480</f>
        <v>490480</v>
      </c>
      <c r="E177" s="213">
        <v>490480</v>
      </c>
      <c r="F177" s="213">
        <f aca="true" t="shared" si="24" ref="F177:F182">D177-E177</f>
        <v>0</v>
      </c>
    </row>
    <row r="178" spans="1:6" ht="20.25">
      <c r="A178" s="488" t="s">
        <v>600</v>
      </c>
      <c r="B178" s="211" t="s">
        <v>361</v>
      </c>
      <c r="C178" s="231" t="s">
        <v>284</v>
      </c>
      <c r="D178" s="212">
        <v>18000</v>
      </c>
      <c r="E178" s="213"/>
      <c r="F178" s="213">
        <f t="shared" si="24"/>
        <v>18000</v>
      </c>
    </row>
    <row r="179" spans="1:6" ht="20.25">
      <c r="A179" s="488" t="s">
        <v>771</v>
      </c>
      <c r="B179" s="211"/>
      <c r="C179" s="231" t="s">
        <v>284</v>
      </c>
      <c r="D179" s="212">
        <v>170000</v>
      </c>
      <c r="E179" s="213">
        <v>170000</v>
      </c>
      <c r="F179" s="213">
        <f t="shared" si="24"/>
        <v>0</v>
      </c>
    </row>
    <row r="180" spans="1:6" ht="20.25">
      <c r="A180" s="488" t="s">
        <v>772</v>
      </c>
      <c r="B180" s="211"/>
      <c r="C180" s="231" t="s">
        <v>284</v>
      </c>
      <c r="D180" s="212">
        <v>30000</v>
      </c>
      <c r="E180" s="213">
        <v>11608</v>
      </c>
      <c r="F180" s="213">
        <f>D180-E180</f>
        <v>18392</v>
      </c>
    </row>
    <row r="181" spans="1:6" ht="20.25">
      <c r="A181" s="518" t="s">
        <v>406</v>
      </c>
      <c r="B181" s="504"/>
      <c r="C181" s="231" t="s">
        <v>284</v>
      </c>
      <c r="D181" s="505">
        <v>200000</v>
      </c>
      <c r="E181" s="217">
        <v>3300</v>
      </c>
      <c r="F181" s="217">
        <f t="shared" si="24"/>
        <v>196700</v>
      </c>
    </row>
    <row r="182" spans="1:6" ht="20.25">
      <c r="A182" s="223" t="s">
        <v>60</v>
      </c>
      <c r="B182" s="241"/>
      <c r="C182" s="232"/>
      <c r="D182" s="507">
        <f>SUM(D176:D181)</f>
        <v>908480</v>
      </c>
      <c r="E182" s="507">
        <f>SUM(E177:E181)</f>
        <v>675388</v>
      </c>
      <c r="F182" s="224">
        <f t="shared" si="24"/>
        <v>233092</v>
      </c>
    </row>
    <row r="183" spans="1:6" ht="20.25">
      <c r="A183" s="488" t="s">
        <v>598</v>
      </c>
      <c r="B183" s="211" t="s">
        <v>625</v>
      </c>
      <c r="C183" s="234" t="s">
        <v>378</v>
      </c>
      <c r="D183" s="212"/>
      <c r="E183" s="213"/>
      <c r="F183" s="213"/>
    </row>
    <row r="184" spans="1:6" ht="20.25">
      <c r="A184" s="518" t="s">
        <v>601</v>
      </c>
      <c r="B184" s="504" t="s">
        <v>370</v>
      </c>
      <c r="C184" s="533" t="s">
        <v>379</v>
      </c>
      <c r="D184" s="505">
        <v>90000</v>
      </c>
      <c r="E184" s="217">
        <v>0</v>
      </c>
      <c r="F184" s="217">
        <f>D184-E184</f>
        <v>90000</v>
      </c>
    </row>
    <row r="185" spans="1:6" ht="20.25">
      <c r="A185" s="223" t="s">
        <v>60</v>
      </c>
      <c r="B185" s="241"/>
      <c r="C185" s="232"/>
      <c r="D185" s="507">
        <f>SUM(D184:D184)</f>
        <v>90000</v>
      </c>
      <c r="E185" s="507">
        <f>SUM(E184:E184)</f>
        <v>0</v>
      </c>
      <c r="F185" s="224">
        <f>D185-E185</f>
        <v>90000</v>
      </c>
    </row>
    <row r="186" spans="1:6" ht="20.25">
      <c r="A186" s="534" t="s">
        <v>380</v>
      </c>
      <c r="B186" s="494" t="s">
        <v>625</v>
      </c>
      <c r="C186" s="532" t="s">
        <v>378</v>
      </c>
      <c r="D186" s="209">
        <f>30000-10000</f>
        <v>20000</v>
      </c>
      <c r="E186" s="209">
        <v>0</v>
      </c>
      <c r="F186" s="210">
        <f>D186-E186</f>
        <v>20000</v>
      </c>
    </row>
    <row r="187" spans="1:6" ht="20.25">
      <c r="A187" s="488" t="s">
        <v>790</v>
      </c>
      <c r="B187" s="211" t="s">
        <v>370</v>
      </c>
      <c r="C187" s="234" t="s">
        <v>167</v>
      </c>
      <c r="D187" s="212"/>
      <c r="E187" s="212"/>
      <c r="F187" s="213"/>
    </row>
    <row r="188" spans="1:6" ht="20.25">
      <c r="A188" s="277" t="s">
        <v>791</v>
      </c>
      <c r="B188" s="211"/>
      <c r="C188" s="231" t="s">
        <v>284</v>
      </c>
      <c r="D188" s="212">
        <f>50000-480</f>
        <v>49520</v>
      </c>
      <c r="E188" s="212">
        <v>17306</v>
      </c>
      <c r="F188" s="213">
        <f>D188-E188</f>
        <v>32214</v>
      </c>
    </row>
    <row r="189" spans="1:6" ht="20.25">
      <c r="A189" s="277" t="s">
        <v>792</v>
      </c>
      <c r="B189" s="211"/>
      <c r="C189" s="231" t="s">
        <v>284</v>
      </c>
      <c r="D189" s="212">
        <f>50000-50000</f>
        <v>0</v>
      </c>
      <c r="E189" s="212">
        <v>0</v>
      </c>
      <c r="F189" s="213">
        <f>D189-E189</f>
        <v>0</v>
      </c>
    </row>
    <row r="190" spans="1:6" ht="20.25">
      <c r="A190" s="278" t="s">
        <v>793</v>
      </c>
      <c r="B190" s="489"/>
      <c r="C190" s="231" t="s">
        <v>284</v>
      </c>
      <c r="D190" s="475">
        <v>30000</v>
      </c>
      <c r="E190" s="475">
        <v>26900</v>
      </c>
      <c r="F190" s="215">
        <f>D190-E190</f>
        <v>3100</v>
      </c>
    </row>
    <row r="191" spans="1:6" ht="20.25">
      <c r="A191" s="223" t="s">
        <v>60</v>
      </c>
      <c r="B191" s="241"/>
      <c r="C191" s="232"/>
      <c r="D191" s="507">
        <f>SUM(D186:D190)</f>
        <v>99520</v>
      </c>
      <c r="E191" s="507">
        <f>SUM(E187:E190)</f>
        <v>44206</v>
      </c>
      <c r="F191" s="224">
        <f>D191-E191</f>
        <v>55314</v>
      </c>
    </row>
    <row r="192" spans="1:6" ht="20.25">
      <c r="A192" s="225" t="s">
        <v>325</v>
      </c>
      <c r="B192" s="509" t="s">
        <v>622</v>
      </c>
      <c r="C192" s="477" t="s">
        <v>623</v>
      </c>
      <c r="D192" s="578"/>
      <c r="E192" s="244"/>
      <c r="F192" s="244"/>
    </row>
    <row r="193" spans="1:6" ht="20.25">
      <c r="A193" s="213" t="s">
        <v>326</v>
      </c>
      <c r="B193" s="231"/>
      <c r="C193" s="496" t="s">
        <v>311</v>
      </c>
      <c r="D193" s="212">
        <f>60000-30000</f>
        <v>30000</v>
      </c>
      <c r="E193" s="213">
        <v>0</v>
      </c>
      <c r="F193" s="213">
        <f>D193-E193</f>
        <v>30000</v>
      </c>
    </row>
    <row r="194" spans="1:6" ht="20.25">
      <c r="A194" s="488" t="s">
        <v>330</v>
      </c>
      <c r="B194" s="231"/>
      <c r="C194" s="496" t="s">
        <v>311</v>
      </c>
      <c r="D194" s="328"/>
      <c r="E194" s="243">
        <v>0</v>
      </c>
      <c r="F194" s="213">
        <f>D194-E194</f>
        <v>0</v>
      </c>
    </row>
    <row r="195" spans="1:6" ht="20.25">
      <c r="A195" s="488" t="s">
        <v>782</v>
      </c>
      <c r="B195" s="231"/>
      <c r="C195" s="496" t="s">
        <v>311</v>
      </c>
      <c r="D195" s="328">
        <v>40000</v>
      </c>
      <c r="E195" s="243"/>
      <c r="F195" s="213"/>
    </row>
    <row r="196" spans="1:6" ht="20.25">
      <c r="A196" s="518" t="s">
        <v>590</v>
      </c>
      <c r="B196" s="529"/>
      <c r="C196" s="496" t="s">
        <v>311</v>
      </c>
      <c r="D196" s="212">
        <f>150000-14000</f>
        <v>136000</v>
      </c>
      <c r="E196" s="213">
        <v>29000</v>
      </c>
      <c r="F196" s="213">
        <f>D196-E196</f>
        <v>107000</v>
      </c>
    </row>
    <row r="197" spans="1:6" ht="20.25">
      <c r="A197" s="518"/>
      <c r="B197" s="530"/>
      <c r="C197" s="503"/>
      <c r="D197" s="505"/>
      <c r="E197" s="217"/>
      <c r="F197" s="217">
        <f>D197-E197</f>
        <v>0</v>
      </c>
    </row>
    <row r="198" spans="1:6" ht="20.25">
      <c r="A198" s="223" t="s">
        <v>60</v>
      </c>
      <c r="B198" s="245"/>
      <c r="C198" s="246"/>
      <c r="D198" s="490">
        <f>SUM(D193:D197)</f>
        <v>206000</v>
      </c>
      <c r="E198" s="490">
        <f>SUM(E193:E197)</f>
        <v>29000</v>
      </c>
      <c r="F198" s="224">
        <f>D198-E198</f>
        <v>177000</v>
      </c>
    </row>
    <row r="199" spans="1:6" ht="20.25">
      <c r="A199" s="535" t="s">
        <v>325</v>
      </c>
      <c r="B199" s="509" t="s">
        <v>622</v>
      </c>
      <c r="C199" s="239" t="s">
        <v>878</v>
      </c>
      <c r="D199" s="233"/>
      <c r="E199" s="233"/>
      <c r="F199" s="222"/>
    </row>
    <row r="200" spans="1:6" ht="20.25">
      <c r="A200" s="235" t="s">
        <v>364</v>
      </c>
      <c r="B200" s="256"/>
      <c r="C200" s="496" t="s">
        <v>311</v>
      </c>
      <c r="D200" s="212">
        <f>36000+480000</f>
        <v>516000</v>
      </c>
      <c r="E200" s="212">
        <v>497000</v>
      </c>
      <c r="F200" s="213">
        <f>D200-E200</f>
        <v>19000</v>
      </c>
    </row>
    <row r="201" spans="1:6" ht="20.25">
      <c r="A201" s="236" t="s">
        <v>406</v>
      </c>
      <c r="B201" s="530"/>
      <c r="C201" s="496" t="s">
        <v>311</v>
      </c>
      <c r="D201" s="505">
        <f>30000+500000-400000</f>
        <v>130000</v>
      </c>
      <c r="E201" s="524">
        <v>0</v>
      </c>
      <c r="F201" s="217">
        <f>D201-E201</f>
        <v>130000</v>
      </c>
    </row>
    <row r="202" spans="1:6" ht="20.25">
      <c r="A202" s="223" t="s">
        <v>60</v>
      </c>
      <c r="B202" s="245"/>
      <c r="C202" s="246"/>
      <c r="D202" s="490">
        <f>SUM(D200:D201)</f>
        <v>646000</v>
      </c>
      <c r="E202" s="490">
        <f>SUM(E200:E201)</f>
        <v>497000</v>
      </c>
      <c r="F202" s="224">
        <f>D202-E202</f>
        <v>149000</v>
      </c>
    </row>
    <row r="203" spans="1:6" ht="20.25">
      <c r="A203" s="525" t="s">
        <v>325</v>
      </c>
      <c r="B203" s="256" t="s">
        <v>622</v>
      </c>
      <c r="C203" s="234" t="s">
        <v>407</v>
      </c>
      <c r="D203" s="221"/>
      <c r="E203" s="233"/>
      <c r="F203" s="222"/>
    </row>
    <row r="204" spans="1:6" ht="20.25">
      <c r="A204" s="235" t="s">
        <v>364</v>
      </c>
      <c r="B204" s="256"/>
      <c r="C204" s="496" t="s">
        <v>311</v>
      </c>
      <c r="D204" s="212">
        <v>100000</v>
      </c>
      <c r="E204" s="212">
        <v>20200</v>
      </c>
      <c r="F204" s="213">
        <f>D204-E204</f>
        <v>79800</v>
      </c>
    </row>
    <row r="205" spans="1:6" ht="20.25">
      <c r="A205" s="236" t="s">
        <v>406</v>
      </c>
      <c r="B205" s="530"/>
      <c r="C205" s="496" t="s">
        <v>311</v>
      </c>
      <c r="D205" s="505">
        <v>10000</v>
      </c>
      <c r="E205" s="524">
        <v>0</v>
      </c>
      <c r="F205" s="217">
        <f>D205-E205</f>
        <v>10000</v>
      </c>
    </row>
    <row r="206" spans="1:6" ht="20.25">
      <c r="A206" s="223" t="s">
        <v>60</v>
      </c>
      <c r="B206" s="245"/>
      <c r="C206" s="246"/>
      <c r="D206" s="490">
        <f>SUM(D203:D205)</f>
        <v>110000</v>
      </c>
      <c r="E206" s="490">
        <f>SUM(E204:E205)</f>
        <v>20200</v>
      </c>
      <c r="F206" s="224">
        <f>D206-E206</f>
        <v>89800</v>
      </c>
    </row>
    <row r="207" spans="1:6" ht="20.25">
      <c r="A207" s="525" t="s">
        <v>325</v>
      </c>
      <c r="B207" s="231" t="s">
        <v>626</v>
      </c>
      <c r="C207" s="234" t="s">
        <v>383</v>
      </c>
      <c r="D207" s="221"/>
      <c r="E207" s="222"/>
      <c r="F207" s="222"/>
    </row>
    <row r="208" spans="1:6" ht="20.25">
      <c r="A208" s="488" t="s">
        <v>364</v>
      </c>
      <c r="B208" s="231"/>
      <c r="C208" s="496" t="s">
        <v>311</v>
      </c>
      <c r="D208" s="212">
        <v>470000</v>
      </c>
      <c r="E208" s="213">
        <f>213161+13000</f>
        <v>226161</v>
      </c>
      <c r="F208" s="213">
        <f>D208-E208</f>
        <v>243839</v>
      </c>
    </row>
    <row r="209" spans="1:6" ht="20.25">
      <c r="A209" s="488" t="s">
        <v>330</v>
      </c>
      <c r="B209" s="529"/>
      <c r="C209" s="496" t="s">
        <v>311</v>
      </c>
      <c r="D209" s="212"/>
      <c r="E209" s="213"/>
      <c r="F209" s="213"/>
    </row>
    <row r="210" spans="1:6" ht="20.25">
      <c r="A210" s="488" t="s">
        <v>783</v>
      </c>
      <c r="B210" s="529"/>
      <c r="C210" s="496" t="s">
        <v>311</v>
      </c>
      <c r="D210" s="212">
        <v>40000</v>
      </c>
      <c r="E210" s="213">
        <v>0</v>
      </c>
      <c r="F210" s="213">
        <f>D210-E210</f>
        <v>40000</v>
      </c>
    </row>
    <row r="211" spans="1:6" ht="20.25">
      <c r="A211" s="518" t="s">
        <v>384</v>
      </c>
      <c r="B211" s="530"/>
      <c r="C211" s="496" t="s">
        <v>311</v>
      </c>
      <c r="D211" s="212">
        <v>10000</v>
      </c>
      <c r="E211" s="213">
        <v>0</v>
      </c>
      <c r="F211" s="213">
        <f>D211-E211</f>
        <v>10000</v>
      </c>
    </row>
    <row r="212" spans="1:19" ht="20.25">
      <c r="A212" s="223" t="s">
        <v>60</v>
      </c>
      <c r="B212" s="241"/>
      <c r="C212" s="241"/>
      <c r="D212" s="490">
        <f>SUM(D207:D211)</f>
        <v>520000</v>
      </c>
      <c r="E212" s="490">
        <f>SUM(E207:E211)</f>
        <v>226161</v>
      </c>
      <c r="F212" s="224">
        <f>D212-E212</f>
        <v>293839</v>
      </c>
      <c r="G212" s="250">
        <f>SUM(G193:G197)</f>
        <v>0</v>
      </c>
      <c r="H212" s="250">
        <f aca="true" t="shared" si="25" ref="H212:S212">SUM(H193:H197)</f>
        <v>0</v>
      </c>
      <c r="I212" s="250">
        <f t="shared" si="25"/>
        <v>0</v>
      </c>
      <c r="J212" s="250">
        <f t="shared" si="25"/>
        <v>0</v>
      </c>
      <c r="K212" s="250">
        <f t="shared" si="25"/>
        <v>0</v>
      </c>
      <c r="L212" s="250">
        <f t="shared" si="25"/>
        <v>0</v>
      </c>
      <c r="M212" s="250">
        <f>SUM(M193:M197)</f>
        <v>0</v>
      </c>
      <c r="N212" s="250">
        <f t="shared" si="25"/>
        <v>0</v>
      </c>
      <c r="O212" s="250">
        <f t="shared" si="25"/>
        <v>0</v>
      </c>
      <c r="P212" s="250">
        <f t="shared" si="25"/>
        <v>0</v>
      </c>
      <c r="Q212" s="250">
        <f t="shared" si="25"/>
        <v>0</v>
      </c>
      <c r="R212" s="250">
        <f t="shared" si="25"/>
        <v>0</v>
      </c>
      <c r="S212" s="250">
        <f t="shared" si="25"/>
        <v>0</v>
      </c>
    </row>
    <row r="213" spans="1:6" ht="20.25">
      <c r="A213" s="535" t="s">
        <v>325</v>
      </c>
      <c r="B213" s="536"/>
      <c r="C213" s="257"/>
      <c r="D213" s="233"/>
      <c r="E213" s="225"/>
      <c r="F213" s="222"/>
    </row>
    <row r="214" spans="1:6" ht="20.25">
      <c r="A214" s="488" t="s">
        <v>331</v>
      </c>
      <c r="B214" s="231" t="s">
        <v>626</v>
      </c>
      <c r="C214" s="234" t="s">
        <v>332</v>
      </c>
      <c r="D214" s="212">
        <f>10000+8360</f>
        <v>18360</v>
      </c>
      <c r="E214" s="213">
        <v>15100</v>
      </c>
      <c r="F214" s="213">
        <f>D214-E214</f>
        <v>3260</v>
      </c>
    </row>
    <row r="215" spans="1:6" ht="20.25">
      <c r="A215" s="488" t="s">
        <v>333</v>
      </c>
      <c r="B215" s="211"/>
      <c r="C215" s="231" t="s">
        <v>284</v>
      </c>
      <c r="D215" s="212">
        <v>10000</v>
      </c>
      <c r="E215" s="213">
        <v>0</v>
      </c>
      <c r="F215" s="213">
        <f>D215-E215</f>
        <v>10000</v>
      </c>
    </row>
    <row r="216" spans="1:6" ht="20.25">
      <c r="A216" s="488" t="s">
        <v>773</v>
      </c>
      <c r="B216" s="211"/>
      <c r="C216" s="231"/>
      <c r="D216" s="212"/>
      <c r="E216" s="213"/>
      <c r="F216" s="213"/>
    </row>
    <row r="217" spans="1:6" ht="20.25">
      <c r="A217" s="280" t="s">
        <v>774</v>
      </c>
      <c r="B217" s="211"/>
      <c r="C217" s="231" t="s">
        <v>284</v>
      </c>
      <c r="D217" s="212">
        <f>10000-9500</f>
        <v>500</v>
      </c>
      <c r="E217" s="213">
        <v>500</v>
      </c>
      <c r="F217" s="213">
        <f aca="true" t="shared" si="26" ref="F217:F222">D217-E217</f>
        <v>0</v>
      </c>
    </row>
    <row r="218" spans="1:6" ht="20.25">
      <c r="A218" s="280" t="s">
        <v>775</v>
      </c>
      <c r="B218" s="211"/>
      <c r="C218" s="231" t="s">
        <v>284</v>
      </c>
      <c r="D218" s="212">
        <f>50000-8360-41640</f>
        <v>0</v>
      </c>
      <c r="E218" s="213">
        <v>0</v>
      </c>
      <c r="F218" s="213">
        <f t="shared" si="26"/>
        <v>0</v>
      </c>
    </row>
    <row r="219" spans="1:6" ht="20.25">
      <c r="A219" s="280" t="s">
        <v>776</v>
      </c>
      <c r="B219" s="211"/>
      <c r="C219" s="231" t="s">
        <v>284</v>
      </c>
      <c r="D219" s="212">
        <f>80000+9500</f>
        <v>89500</v>
      </c>
      <c r="E219" s="213">
        <v>80470</v>
      </c>
      <c r="F219" s="213">
        <f t="shared" si="26"/>
        <v>9030</v>
      </c>
    </row>
    <row r="220" spans="1:6" ht="20.25">
      <c r="A220" s="488" t="s">
        <v>777</v>
      </c>
      <c r="B220" s="211"/>
      <c r="C220" s="231" t="s">
        <v>284</v>
      </c>
      <c r="D220" s="212">
        <v>10000</v>
      </c>
      <c r="E220" s="213">
        <v>5942</v>
      </c>
      <c r="F220" s="213">
        <f t="shared" si="26"/>
        <v>4058</v>
      </c>
    </row>
    <row r="221" spans="1:6" ht="20.25">
      <c r="A221" s="527" t="s">
        <v>382</v>
      </c>
      <c r="B221" s="489"/>
      <c r="C221" s="497" t="s">
        <v>284</v>
      </c>
      <c r="D221" s="475">
        <v>10000</v>
      </c>
      <c r="E221" s="215">
        <v>0</v>
      </c>
      <c r="F221" s="215">
        <f t="shared" si="26"/>
        <v>10000</v>
      </c>
    </row>
    <row r="222" spans="1:6" ht="20.25">
      <c r="A222" s="223" t="s">
        <v>359</v>
      </c>
      <c r="B222" s="241"/>
      <c r="C222" s="232"/>
      <c r="D222" s="490">
        <f>SUM(D214:D221)</f>
        <v>138360</v>
      </c>
      <c r="E222" s="490">
        <f>SUM(E214:E221)</f>
        <v>102012</v>
      </c>
      <c r="F222" s="491">
        <f t="shared" si="26"/>
        <v>36348</v>
      </c>
    </row>
    <row r="223" spans="1:6" ht="20.25">
      <c r="A223" s="525" t="s">
        <v>325</v>
      </c>
      <c r="B223" s="257" t="s">
        <v>620</v>
      </c>
      <c r="C223" s="257" t="s">
        <v>388</v>
      </c>
      <c r="D223" s="233"/>
      <c r="E223" s="233"/>
      <c r="F223" s="222"/>
    </row>
    <row r="224" spans="1:6" ht="20.25">
      <c r="A224" s="235" t="s">
        <v>364</v>
      </c>
      <c r="B224" s="211" t="s">
        <v>387</v>
      </c>
      <c r="C224" s="231" t="s">
        <v>284</v>
      </c>
      <c r="D224" s="212">
        <v>60000</v>
      </c>
      <c r="E224" s="212">
        <v>8300</v>
      </c>
      <c r="F224" s="213">
        <f>D224-E224</f>
        <v>51700</v>
      </c>
    </row>
    <row r="225" spans="1:6" ht="20.25">
      <c r="A225" s="235" t="s">
        <v>365</v>
      </c>
      <c r="B225" s="211"/>
      <c r="C225" s="231" t="s">
        <v>284</v>
      </c>
      <c r="D225" s="212">
        <f>10000-4500</f>
        <v>5500</v>
      </c>
      <c r="E225" s="212">
        <v>0</v>
      </c>
      <c r="F225" s="213">
        <f>D225-E225</f>
        <v>5500</v>
      </c>
    </row>
    <row r="226" spans="1:6" ht="20.25">
      <c r="A226" s="235" t="s">
        <v>778</v>
      </c>
      <c r="B226" s="211"/>
      <c r="C226" s="231" t="s">
        <v>284</v>
      </c>
      <c r="D226" s="212"/>
      <c r="E226" s="212"/>
      <c r="F226" s="213"/>
    </row>
    <row r="227" spans="1:6" ht="20.25">
      <c r="A227" s="488" t="s">
        <v>420</v>
      </c>
      <c r="B227" s="504"/>
      <c r="C227" s="231" t="s">
        <v>284</v>
      </c>
      <c r="D227" s="212">
        <v>20000</v>
      </c>
      <c r="E227" s="212">
        <v>4872</v>
      </c>
      <c r="F227" s="213">
        <f>D227-E227</f>
        <v>15128</v>
      </c>
    </row>
    <row r="228" spans="1:6" ht="20.25">
      <c r="A228" s="518" t="s">
        <v>382</v>
      </c>
      <c r="B228" s="504"/>
      <c r="C228" s="231" t="s">
        <v>284</v>
      </c>
      <c r="D228" s="212">
        <v>10000</v>
      </c>
      <c r="E228" s="212">
        <v>7500</v>
      </c>
      <c r="F228" s="213">
        <f>D228-E228</f>
        <v>2500</v>
      </c>
    </row>
    <row r="229" spans="1:6" ht="20.25">
      <c r="A229" s="223" t="s">
        <v>60</v>
      </c>
      <c r="B229" s="241"/>
      <c r="C229" s="241"/>
      <c r="D229" s="507">
        <f>SUM(D224:D228)</f>
        <v>95500</v>
      </c>
      <c r="E229" s="507">
        <f>SUM(E224:E228)</f>
        <v>20672</v>
      </c>
      <c r="F229" s="224">
        <f>D229-E229</f>
        <v>74828</v>
      </c>
    </row>
    <row r="230" spans="1:6" ht="20.25">
      <c r="A230" s="525" t="s">
        <v>325</v>
      </c>
      <c r="B230" s="257" t="s">
        <v>620</v>
      </c>
      <c r="C230" s="257" t="s">
        <v>781</v>
      </c>
      <c r="D230" s="233"/>
      <c r="E230" s="233"/>
      <c r="F230" s="222"/>
    </row>
    <row r="231" spans="1:6" ht="20.25">
      <c r="A231" s="235" t="s">
        <v>779</v>
      </c>
      <c r="B231" s="211" t="s">
        <v>387</v>
      </c>
      <c r="C231" s="211"/>
      <c r="D231" s="212"/>
      <c r="E231" s="229"/>
      <c r="F231" s="213"/>
    </row>
    <row r="232" spans="1:6" ht="20.25">
      <c r="A232" s="236" t="s">
        <v>780</v>
      </c>
      <c r="B232" s="504"/>
      <c r="C232" s="231" t="s">
        <v>284</v>
      </c>
      <c r="D232" s="505">
        <f>30000-20000</f>
        <v>10000</v>
      </c>
      <c r="E232" s="524">
        <v>0</v>
      </c>
      <c r="F232" s="217">
        <f>D232-E232</f>
        <v>10000</v>
      </c>
    </row>
    <row r="233" spans="1:6" ht="20.25">
      <c r="A233" s="223" t="s">
        <v>60</v>
      </c>
      <c r="B233" s="241"/>
      <c r="C233" s="241"/>
      <c r="D233" s="490">
        <f>SUM(D231:D232)</f>
        <v>10000</v>
      </c>
      <c r="E233" s="490">
        <f>SUM(E231:E232)</f>
        <v>0</v>
      </c>
      <c r="F233" s="224">
        <f>D233-E233</f>
        <v>10000</v>
      </c>
    </row>
    <row r="234" spans="1:6" ht="20.25">
      <c r="A234" s="487" t="s">
        <v>325</v>
      </c>
      <c r="B234" s="494" t="s">
        <v>620</v>
      </c>
      <c r="C234" s="494" t="s">
        <v>385</v>
      </c>
      <c r="D234" s="281"/>
      <c r="E234" s="281"/>
      <c r="F234" s="210">
        <f>D234-E234</f>
        <v>0</v>
      </c>
    </row>
    <row r="235" spans="1:6" ht="20.25">
      <c r="A235" s="235" t="s">
        <v>779</v>
      </c>
      <c r="B235" s="211" t="s">
        <v>387</v>
      </c>
      <c r="C235" s="211" t="s">
        <v>394</v>
      </c>
      <c r="D235" s="229"/>
      <c r="E235" s="229"/>
      <c r="F235" s="213"/>
    </row>
    <row r="236" spans="1:6" ht="20.25">
      <c r="A236" s="280" t="s">
        <v>784</v>
      </c>
      <c r="B236" s="211"/>
      <c r="C236" s="231" t="s">
        <v>284</v>
      </c>
      <c r="D236" s="212">
        <v>80000</v>
      </c>
      <c r="E236" s="212">
        <v>0</v>
      </c>
      <c r="F236" s="213">
        <f aca="true" t="shared" si="27" ref="F236:F242">D236-E236</f>
        <v>80000</v>
      </c>
    </row>
    <row r="237" spans="1:6" ht="20.25">
      <c r="A237" s="280" t="s">
        <v>785</v>
      </c>
      <c r="B237" s="211"/>
      <c r="C237" s="231" t="s">
        <v>284</v>
      </c>
      <c r="D237" s="212">
        <v>20000</v>
      </c>
      <c r="E237" s="212">
        <v>20000</v>
      </c>
      <c r="F237" s="213">
        <f t="shared" si="27"/>
        <v>0</v>
      </c>
    </row>
    <row r="238" spans="1:6" ht="20.25">
      <c r="A238" s="279" t="s">
        <v>786</v>
      </c>
      <c r="B238" s="211"/>
      <c r="C238" s="231" t="s">
        <v>284</v>
      </c>
      <c r="D238" s="212">
        <v>30000</v>
      </c>
      <c r="E238" s="212">
        <v>18690</v>
      </c>
      <c r="F238" s="213">
        <f t="shared" si="27"/>
        <v>11310</v>
      </c>
    </row>
    <row r="239" spans="1:6" ht="20.25">
      <c r="A239" s="279" t="s">
        <v>787</v>
      </c>
      <c r="B239" s="211"/>
      <c r="C239" s="231" t="s">
        <v>284</v>
      </c>
      <c r="D239" s="212">
        <v>20000</v>
      </c>
      <c r="E239" s="212">
        <v>0</v>
      </c>
      <c r="F239" s="213">
        <f t="shared" si="27"/>
        <v>20000</v>
      </c>
    </row>
    <row r="240" spans="1:6" ht="20.25">
      <c r="A240" s="279" t="s">
        <v>788</v>
      </c>
      <c r="B240" s="211"/>
      <c r="C240" s="231" t="s">
        <v>284</v>
      </c>
      <c r="D240" s="212">
        <v>10000</v>
      </c>
      <c r="E240" s="212">
        <v>4650</v>
      </c>
      <c r="F240" s="213">
        <f t="shared" si="27"/>
        <v>5350</v>
      </c>
    </row>
    <row r="241" spans="1:6" ht="20.25">
      <c r="A241" s="278" t="s">
        <v>789</v>
      </c>
      <c r="B241" s="489"/>
      <c r="C241" s="497" t="s">
        <v>284</v>
      </c>
      <c r="D241" s="475">
        <v>40000</v>
      </c>
      <c r="E241" s="475">
        <v>0</v>
      </c>
      <c r="F241" s="215">
        <f t="shared" si="27"/>
        <v>40000</v>
      </c>
    </row>
    <row r="242" spans="1:6" ht="20.25">
      <c r="A242" s="223" t="s">
        <v>60</v>
      </c>
      <c r="B242" s="241"/>
      <c r="C242" s="241"/>
      <c r="D242" s="490">
        <f>SUM(D236:D241)</f>
        <v>200000</v>
      </c>
      <c r="E242" s="490">
        <f>SUM(E236:E241)</f>
        <v>43340</v>
      </c>
      <c r="F242" s="224">
        <f t="shared" si="27"/>
        <v>156660</v>
      </c>
    </row>
    <row r="243" spans="1:6" ht="20.25">
      <c r="A243" s="525" t="s">
        <v>325</v>
      </c>
      <c r="B243" s="257" t="s">
        <v>627</v>
      </c>
      <c r="C243" s="211" t="s">
        <v>328</v>
      </c>
      <c r="D243" s="233"/>
      <c r="E243" s="233"/>
      <c r="F243" s="222"/>
    </row>
    <row r="244" spans="1:6" ht="20.25">
      <c r="A244" s="235" t="s">
        <v>364</v>
      </c>
      <c r="B244" s="211" t="s">
        <v>111</v>
      </c>
      <c r="C244" s="231" t="s">
        <v>284</v>
      </c>
      <c r="D244" s="212">
        <v>9000</v>
      </c>
      <c r="E244" s="229">
        <v>0</v>
      </c>
      <c r="F244" s="213">
        <f>D244-E244</f>
        <v>9000</v>
      </c>
    </row>
    <row r="245" spans="1:6" ht="20.25">
      <c r="A245" s="235" t="s">
        <v>796</v>
      </c>
      <c r="B245" s="211"/>
      <c r="C245" s="231" t="s">
        <v>284</v>
      </c>
      <c r="D245" s="212"/>
      <c r="E245" s="229"/>
      <c r="F245" s="213"/>
    </row>
    <row r="246" spans="1:6" ht="20.25">
      <c r="A246" s="235" t="s">
        <v>602</v>
      </c>
      <c r="B246" s="211"/>
      <c r="C246" s="231" t="s">
        <v>284</v>
      </c>
      <c r="D246" s="212">
        <v>50000</v>
      </c>
      <c r="E246" s="229">
        <v>0</v>
      </c>
      <c r="F246" s="213">
        <f>D246-E246</f>
        <v>50000</v>
      </c>
    </row>
    <row r="247" spans="1:6" ht="20.25">
      <c r="A247" s="488" t="s">
        <v>794</v>
      </c>
      <c r="B247" s="211"/>
      <c r="C247" s="231" t="s">
        <v>284</v>
      </c>
      <c r="D247" s="212">
        <v>10000</v>
      </c>
      <c r="E247" s="229">
        <v>0</v>
      </c>
      <c r="F247" s="213">
        <f>D247-E247</f>
        <v>10000</v>
      </c>
    </row>
    <row r="248" spans="1:6" ht="20.25">
      <c r="A248" s="518" t="s">
        <v>795</v>
      </c>
      <c r="B248" s="504"/>
      <c r="C248" s="231" t="s">
        <v>284</v>
      </c>
      <c r="D248" s="505">
        <v>10000</v>
      </c>
      <c r="E248" s="524">
        <v>0</v>
      </c>
      <c r="F248" s="217">
        <f>D248-E248</f>
        <v>10000</v>
      </c>
    </row>
    <row r="249" spans="1:6" ht="20.25">
      <c r="A249" s="223" t="s">
        <v>60</v>
      </c>
      <c r="B249" s="241"/>
      <c r="C249" s="241"/>
      <c r="D249" s="490">
        <f>SUM(D244:D248)</f>
        <v>79000</v>
      </c>
      <c r="E249" s="490">
        <f>SUM(E244:E248)</f>
        <v>0</v>
      </c>
      <c r="F249" s="224">
        <f>D249-E249</f>
        <v>79000</v>
      </c>
    </row>
    <row r="250" spans="1:6" ht="20.25">
      <c r="A250" s="486" t="s">
        <v>325</v>
      </c>
      <c r="B250" s="494"/>
      <c r="C250" s="494"/>
      <c r="D250" s="281"/>
      <c r="E250" s="281"/>
      <c r="F250" s="210"/>
    </row>
    <row r="251" spans="1:6" ht="20.25">
      <c r="A251" s="235" t="s">
        <v>779</v>
      </c>
      <c r="B251" s="211" t="s">
        <v>397</v>
      </c>
      <c r="C251" s="211" t="s">
        <v>398</v>
      </c>
      <c r="D251" s="229"/>
      <c r="E251" s="229"/>
      <c r="F251" s="213"/>
    </row>
    <row r="252" spans="1:6" ht="20.25">
      <c r="A252" s="279" t="s">
        <v>797</v>
      </c>
      <c r="B252" s="211" t="s">
        <v>111</v>
      </c>
      <c r="C252" s="231" t="s">
        <v>284</v>
      </c>
      <c r="D252" s="212">
        <v>30000</v>
      </c>
      <c r="E252" s="229">
        <v>6970</v>
      </c>
      <c r="F252" s="213">
        <f>D252-E252</f>
        <v>23030</v>
      </c>
    </row>
    <row r="253" spans="1:6" ht="20.25">
      <c r="A253" s="279" t="s">
        <v>798</v>
      </c>
      <c r="B253" s="211"/>
      <c r="C253" s="231" t="s">
        <v>284</v>
      </c>
      <c r="D253" s="212">
        <v>40000</v>
      </c>
      <c r="E253" s="229">
        <v>30900</v>
      </c>
      <c r="F253" s="213">
        <f>D253-E253</f>
        <v>9100</v>
      </c>
    </row>
    <row r="254" spans="1:6" ht="20.25">
      <c r="A254" s="526"/>
      <c r="B254" s="489"/>
      <c r="C254" s="489"/>
      <c r="D254" s="240"/>
      <c r="E254" s="240"/>
      <c r="F254" s="215"/>
    </row>
    <row r="255" spans="1:6" ht="20.25">
      <c r="A255" s="223" t="s">
        <v>60</v>
      </c>
      <c r="B255" s="241"/>
      <c r="C255" s="241"/>
      <c r="D255" s="500">
        <f>SUM(D252:D254)</f>
        <v>70000</v>
      </c>
      <c r="E255" s="500">
        <f>SUM(E252:E254)</f>
        <v>37870</v>
      </c>
      <c r="F255" s="216">
        <f>D255-E255</f>
        <v>32130</v>
      </c>
    </row>
    <row r="256" spans="1:6" ht="20.25">
      <c r="A256" s="282" t="s">
        <v>334</v>
      </c>
      <c r="B256" s="245"/>
      <c r="C256" s="241"/>
      <c r="D256" s="540">
        <f>D148+D157+D165+D175+D182+D185+D191+D198+D202+D206+D212+D222+D229+D233+D242+D249+D255</f>
        <v>5457450</v>
      </c>
      <c r="E256" s="540">
        <f>+E255+E249+E242+E233+E229+E222+E212+E206+E202+E198+E191+E185+E182+E175+E165+E157+E148</f>
        <v>2806550</v>
      </c>
      <c r="F256" s="540">
        <f>+F255+F249+F242+F233+F229+F222+F212+F206+F202+F198+F191+F185+F182+F175+F165+F157+F148</f>
        <v>2650900</v>
      </c>
    </row>
    <row r="257" spans="1:6" ht="20.25">
      <c r="A257" s="492" t="s">
        <v>335</v>
      </c>
      <c r="B257" s="502"/>
      <c r="C257" s="537"/>
      <c r="D257" s="538"/>
      <c r="E257" s="539"/>
      <c r="F257" s="539"/>
    </row>
    <row r="258" spans="1:21" ht="20.25">
      <c r="A258" s="213" t="s">
        <v>336</v>
      </c>
      <c r="B258" s="231" t="s">
        <v>306</v>
      </c>
      <c r="C258" s="495" t="s">
        <v>337</v>
      </c>
      <c r="D258" s="212">
        <f>200000-1000</f>
        <v>199000</v>
      </c>
      <c r="E258" s="213">
        <v>158282</v>
      </c>
      <c r="F258" s="213">
        <f aca="true" t="shared" si="28" ref="F258:F278">D258-E258</f>
        <v>40718</v>
      </c>
      <c r="U258" s="577">
        <f>SUM(G258:S258)</f>
        <v>0</v>
      </c>
    </row>
    <row r="259" spans="1:6" ht="20.25">
      <c r="A259" s="213" t="s">
        <v>603</v>
      </c>
      <c r="B259" s="529"/>
      <c r="C259" s="496" t="s">
        <v>311</v>
      </c>
      <c r="D259" s="212">
        <v>20000</v>
      </c>
      <c r="E259" s="213">
        <v>0</v>
      </c>
      <c r="F259" s="213">
        <f t="shared" si="28"/>
        <v>20000</v>
      </c>
    </row>
    <row r="260" spans="1:6" ht="20.25">
      <c r="A260" s="213" t="s">
        <v>604</v>
      </c>
      <c r="B260" s="211"/>
      <c r="C260" s="231" t="s">
        <v>284</v>
      </c>
      <c r="D260" s="212">
        <f>20000+50000</f>
        <v>70000</v>
      </c>
      <c r="E260" s="213">
        <v>63000</v>
      </c>
      <c r="F260" s="213">
        <f t="shared" si="28"/>
        <v>7000</v>
      </c>
    </row>
    <row r="261" spans="1:20" ht="20.25">
      <c r="A261" s="213" t="s">
        <v>339</v>
      </c>
      <c r="B261" s="529"/>
      <c r="C261" s="231" t="s">
        <v>284</v>
      </c>
      <c r="D261" s="212">
        <v>200000</v>
      </c>
      <c r="E261" s="213">
        <v>136784</v>
      </c>
      <c r="F261" s="213">
        <f t="shared" si="28"/>
        <v>63216</v>
      </c>
      <c r="T261" s="583"/>
    </row>
    <row r="262" spans="1:6" ht="20.25">
      <c r="A262" s="213" t="s">
        <v>605</v>
      </c>
      <c r="B262" s="529"/>
      <c r="C262" s="231" t="s">
        <v>284</v>
      </c>
      <c r="D262" s="212">
        <v>10000</v>
      </c>
      <c r="E262" s="213">
        <v>0</v>
      </c>
      <c r="F262" s="213">
        <f t="shared" si="28"/>
        <v>10000</v>
      </c>
    </row>
    <row r="263" spans="1:6" ht="20.25">
      <c r="A263" s="217" t="s">
        <v>606</v>
      </c>
      <c r="B263" s="530"/>
      <c r="C263" s="237" t="s">
        <v>284</v>
      </c>
      <c r="D263" s="505">
        <v>50000</v>
      </c>
      <c r="E263" s="217">
        <v>50000</v>
      </c>
      <c r="F263" s="217">
        <f t="shared" si="28"/>
        <v>0</v>
      </c>
    </row>
    <row r="264" spans="1:6" ht="20.25">
      <c r="A264" s="223" t="s">
        <v>60</v>
      </c>
      <c r="B264" s="241"/>
      <c r="C264" s="232"/>
      <c r="D264" s="507">
        <f>SUM(D258:D263)</f>
        <v>549000</v>
      </c>
      <c r="E264" s="507">
        <f>SUM(E258:E263)</f>
        <v>408066</v>
      </c>
      <c r="F264" s="224">
        <f t="shared" si="28"/>
        <v>140934</v>
      </c>
    </row>
    <row r="265" spans="1:6" ht="20.25">
      <c r="A265" s="222" t="s">
        <v>864</v>
      </c>
      <c r="B265" s="231" t="s">
        <v>306</v>
      </c>
      <c r="C265" s="495" t="s">
        <v>865</v>
      </c>
      <c r="D265" s="221">
        <v>30600</v>
      </c>
      <c r="E265" s="221">
        <v>30600</v>
      </c>
      <c r="F265" s="222">
        <f>D265-E265</f>
        <v>0</v>
      </c>
    </row>
    <row r="266" spans="1:19" ht="20.25">
      <c r="A266" s="223" t="s">
        <v>60</v>
      </c>
      <c r="B266" s="245"/>
      <c r="C266" s="241"/>
      <c r="D266" s="540">
        <f>SUM(D265:D265)</f>
        <v>30600</v>
      </c>
      <c r="E266" s="541">
        <f>SUM(E265:E265)</f>
        <v>30600</v>
      </c>
      <c r="F266" s="224">
        <f>D266-E266</f>
        <v>0</v>
      </c>
      <c r="G266" s="250">
        <f aca="true" t="shared" si="29" ref="G266:S266">SUM(G265:G265)</f>
        <v>0</v>
      </c>
      <c r="H266" s="250">
        <f t="shared" si="29"/>
        <v>0</v>
      </c>
      <c r="I266" s="250">
        <f t="shared" si="29"/>
        <v>0</v>
      </c>
      <c r="J266" s="250">
        <f t="shared" si="29"/>
        <v>0</v>
      </c>
      <c r="K266" s="250">
        <f t="shared" si="29"/>
        <v>0</v>
      </c>
      <c r="L266" s="250">
        <f t="shared" si="29"/>
        <v>0</v>
      </c>
      <c r="M266" s="250">
        <f t="shared" si="29"/>
        <v>0</v>
      </c>
      <c r="N266" s="250">
        <f t="shared" si="29"/>
        <v>0</v>
      </c>
      <c r="O266" s="250">
        <f t="shared" si="29"/>
        <v>0</v>
      </c>
      <c r="P266" s="250">
        <f t="shared" si="29"/>
        <v>0</v>
      </c>
      <c r="Q266" s="250">
        <f t="shared" si="29"/>
        <v>0</v>
      </c>
      <c r="R266" s="250">
        <f t="shared" si="29"/>
        <v>0</v>
      </c>
      <c r="S266" s="250">
        <f t="shared" si="29"/>
        <v>0</v>
      </c>
    </row>
    <row r="267" spans="1:6" ht="20.25">
      <c r="A267" s="222" t="s">
        <v>336</v>
      </c>
      <c r="B267" s="509" t="s">
        <v>315</v>
      </c>
      <c r="C267" s="510" t="s">
        <v>316</v>
      </c>
      <c r="D267" s="221">
        <f>40000+1000</f>
        <v>41000</v>
      </c>
      <c r="E267" s="221">
        <v>40133.9</v>
      </c>
      <c r="F267" s="222">
        <f t="shared" si="28"/>
        <v>866.0999999999985</v>
      </c>
    </row>
    <row r="268" spans="1:6" ht="20.25">
      <c r="A268" s="217" t="s">
        <v>338</v>
      </c>
      <c r="B268" s="237"/>
      <c r="C268" s="237" t="s">
        <v>284</v>
      </c>
      <c r="D268" s="505">
        <v>20000</v>
      </c>
      <c r="E268" s="217">
        <v>20000</v>
      </c>
      <c r="F268" s="217">
        <f t="shared" si="28"/>
        <v>0</v>
      </c>
    </row>
    <row r="269" spans="1:19" ht="20.25">
      <c r="A269" s="223" t="s">
        <v>60</v>
      </c>
      <c r="B269" s="245"/>
      <c r="C269" s="241"/>
      <c r="D269" s="540">
        <f>SUM(D267:D268)</f>
        <v>61000</v>
      </c>
      <c r="E269" s="541">
        <f>SUM(E267:E268)</f>
        <v>60133.9</v>
      </c>
      <c r="F269" s="224">
        <f t="shared" si="28"/>
        <v>866.0999999999985</v>
      </c>
      <c r="G269" s="250">
        <f aca="true" t="shared" si="30" ref="G269:S269">SUM(G267:G268)</f>
        <v>0</v>
      </c>
      <c r="H269" s="250">
        <f t="shared" si="30"/>
        <v>0</v>
      </c>
      <c r="I269" s="250">
        <f t="shared" si="30"/>
        <v>0</v>
      </c>
      <c r="J269" s="250">
        <f t="shared" si="30"/>
        <v>0</v>
      </c>
      <c r="K269" s="250">
        <f t="shared" si="30"/>
        <v>0</v>
      </c>
      <c r="L269" s="250">
        <f t="shared" si="30"/>
        <v>0</v>
      </c>
      <c r="M269" s="250">
        <f t="shared" si="30"/>
        <v>0</v>
      </c>
      <c r="N269" s="250">
        <f t="shared" si="30"/>
        <v>0</v>
      </c>
      <c r="O269" s="250">
        <f t="shared" si="30"/>
        <v>0</v>
      </c>
      <c r="P269" s="250">
        <f t="shared" si="30"/>
        <v>0</v>
      </c>
      <c r="Q269" s="250">
        <f t="shared" si="30"/>
        <v>0</v>
      </c>
      <c r="R269" s="250">
        <f t="shared" si="30"/>
        <v>0</v>
      </c>
      <c r="S269" s="250">
        <f t="shared" si="30"/>
        <v>0</v>
      </c>
    </row>
    <row r="270" spans="1:6" ht="20.25">
      <c r="A270" s="222" t="s">
        <v>401</v>
      </c>
      <c r="B270" s="238" t="s">
        <v>622</v>
      </c>
      <c r="C270" s="510" t="s">
        <v>623</v>
      </c>
      <c r="D270" s="542">
        <v>20000</v>
      </c>
      <c r="E270" s="543">
        <v>0</v>
      </c>
      <c r="F270" s="247">
        <f t="shared" si="28"/>
        <v>20000</v>
      </c>
    </row>
    <row r="271" spans="1:6" ht="20.25">
      <c r="A271" s="234" t="s">
        <v>610</v>
      </c>
      <c r="B271" s="529"/>
      <c r="C271" s="231" t="s">
        <v>284</v>
      </c>
      <c r="D271" s="328">
        <v>20000</v>
      </c>
      <c r="E271" s="243">
        <v>10100</v>
      </c>
      <c r="F271" s="252">
        <f t="shared" si="28"/>
        <v>9900</v>
      </c>
    </row>
    <row r="272" spans="1:6" ht="20.25">
      <c r="A272" s="234" t="s">
        <v>609</v>
      </c>
      <c r="B272" s="529"/>
      <c r="C272" s="231" t="s">
        <v>284</v>
      </c>
      <c r="D272" s="328">
        <v>10000</v>
      </c>
      <c r="E272" s="243">
        <v>0</v>
      </c>
      <c r="F272" s="252">
        <f t="shared" si="28"/>
        <v>10000</v>
      </c>
    </row>
    <row r="273" spans="1:6" ht="20.25">
      <c r="A273" s="234" t="s">
        <v>611</v>
      </c>
      <c r="B273" s="529"/>
      <c r="C273" s="231" t="s">
        <v>284</v>
      </c>
      <c r="D273" s="328">
        <f>10000+10000+20000+30000</f>
        <v>70000</v>
      </c>
      <c r="E273" s="243">
        <v>56483.8</v>
      </c>
      <c r="F273" s="252">
        <f t="shared" si="28"/>
        <v>13516.199999999997</v>
      </c>
    </row>
    <row r="274" spans="1:6" ht="20.25">
      <c r="A274" s="234" t="s">
        <v>613</v>
      </c>
      <c r="B274" s="529"/>
      <c r="C274" s="231" t="s">
        <v>284</v>
      </c>
      <c r="D274" s="328">
        <f>20000-10000</f>
        <v>10000</v>
      </c>
      <c r="E274" s="243">
        <v>0</v>
      </c>
      <c r="F274" s="252">
        <f t="shared" si="28"/>
        <v>10000</v>
      </c>
    </row>
    <row r="275" spans="1:6" ht="20.25">
      <c r="A275" s="217" t="s">
        <v>612</v>
      </c>
      <c r="B275" s="530"/>
      <c r="C275" s="231" t="s">
        <v>284</v>
      </c>
      <c r="D275" s="544">
        <v>10000</v>
      </c>
      <c r="E275" s="545">
        <v>10000</v>
      </c>
      <c r="F275" s="249">
        <f t="shared" si="28"/>
        <v>0</v>
      </c>
    </row>
    <row r="276" spans="1:6" ht="20.25">
      <c r="A276" s="217"/>
      <c r="B276" s="530"/>
      <c r="C276" s="231"/>
      <c r="D276" s="544"/>
      <c r="E276" s="545"/>
      <c r="F276" s="249"/>
    </row>
    <row r="277" spans="1:6" ht="20.25">
      <c r="A277" s="223" t="s">
        <v>60</v>
      </c>
      <c r="B277" s="245"/>
      <c r="C277" s="241"/>
      <c r="D277" s="540">
        <f>SUM(D270:D276)</f>
        <v>140000</v>
      </c>
      <c r="E277" s="541">
        <f>SUM(E270:E275)</f>
        <v>76583.8</v>
      </c>
      <c r="F277" s="224">
        <f t="shared" si="28"/>
        <v>63416.2</v>
      </c>
    </row>
    <row r="278" spans="1:6" ht="20.25">
      <c r="A278" s="222" t="s">
        <v>402</v>
      </c>
      <c r="B278" s="238" t="s">
        <v>622</v>
      </c>
      <c r="C278" s="510" t="s">
        <v>403</v>
      </c>
      <c r="D278" s="542">
        <f>30000+30000</f>
        <v>60000</v>
      </c>
      <c r="E278" s="543">
        <v>41788.85</v>
      </c>
      <c r="F278" s="247">
        <f t="shared" si="28"/>
        <v>18211.15</v>
      </c>
    </row>
    <row r="279" spans="1:29" s="250" customFormat="1" ht="20.25">
      <c r="A279" s="222" t="s">
        <v>610</v>
      </c>
      <c r="B279" s="530"/>
      <c r="C279" s="231" t="s">
        <v>284</v>
      </c>
      <c r="D279" s="542">
        <v>30000</v>
      </c>
      <c r="E279" s="543">
        <v>9000</v>
      </c>
      <c r="F279" s="247">
        <f>D279-E279</f>
        <v>21000</v>
      </c>
      <c r="T279" s="572"/>
      <c r="U279" s="572"/>
      <c r="V279" s="572"/>
      <c r="W279" s="572"/>
      <c r="X279" s="572"/>
      <c r="Y279" s="572"/>
      <c r="Z279" s="572"/>
      <c r="AA279" s="572"/>
      <c r="AB279" s="572"/>
      <c r="AC279" s="572"/>
    </row>
    <row r="280" spans="1:29" s="250" customFormat="1" ht="20.25">
      <c r="A280" s="223" t="s">
        <v>60</v>
      </c>
      <c r="B280" s="245"/>
      <c r="C280" s="241"/>
      <c r="D280" s="540">
        <f>SUM(D278:D279)</f>
        <v>90000</v>
      </c>
      <c r="E280" s="541">
        <f>SUM(E278:E279)</f>
        <v>50788.85</v>
      </c>
      <c r="F280" s="224">
        <f>D280-E280</f>
        <v>39211.15</v>
      </c>
      <c r="T280" s="572"/>
      <c r="U280" s="572"/>
      <c r="V280" s="572"/>
      <c r="W280" s="572"/>
      <c r="X280" s="572"/>
      <c r="Y280" s="572"/>
      <c r="Z280" s="572"/>
      <c r="AA280" s="572"/>
      <c r="AB280" s="572"/>
      <c r="AC280" s="572"/>
    </row>
    <row r="281" spans="1:29" s="250" customFormat="1" ht="20.25">
      <c r="A281" s="535"/>
      <c r="B281" s="238" t="s">
        <v>625</v>
      </c>
      <c r="C281" s="239"/>
      <c r="D281" s="578"/>
      <c r="E281" s="251"/>
      <c r="F281" s="247"/>
      <c r="T281" s="572"/>
      <c r="U281" s="572"/>
      <c r="V281" s="572"/>
      <c r="W281" s="572"/>
      <c r="X281" s="572"/>
      <c r="Y281" s="572"/>
      <c r="Z281" s="572"/>
      <c r="AA281" s="572"/>
      <c r="AB281" s="572"/>
      <c r="AC281" s="572"/>
    </row>
    <row r="282" spans="1:29" s="250" customFormat="1" ht="20.25">
      <c r="A282" s="488" t="s">
        <v>340</v>
      </c>
      <c r="B282" s="231" t="s">
        <v>363</v>
      </c>
      <c r="C282" s="234" t="s">
        <v>362</v>
      </c>
      <c r="D282" s="546">
        <v>30000</v>
      </c>
      <c r="E282" s="547">
        <v>27568</v>
      </c>
      <c r="F282" s="252">
        <f aca="true" t="shared" si="31" ref="F282:F287">D282-E282</f>
        <v>2432</v>
      </c>
      <c r="T282" s="572"/>
      <c r="U282" s="572"/>
      <c r="V282" s="572"/>
      <c r="W282" s="572"/>
      <c r="X282" s="572"/>
      <c r="Y282" s="572"/>
      <c r="Z282" s="572"/>
      <c r="AA282" s="572"/>
      <c r="AB282" s="572"/>
      <c r="AC282" s="572"/>
    </row>
    <row r="283" spans="1:29" s="250" customFormat="1" ht="20.25">
      <c r="A283" s="488" t="s">
        <v>367</v>
      </c>
      <c r="B283" s="231" t="s">
        <v>361</v>
      </c>
      <c r="C283" s="231" t="s">
        <v>284</v>
      </c>
      <c r="D283" s="546">
        <v>5000</v>
      </c>
      <c r="E283" s="547">
        <v>0</v>
      </c>
      <c r="F283" s="252">
        <f t="shared" si="31"/>
        <v>5000</v>
      </c>
      <c r="T283" s="572"/>
      <c r="U283" s="572"/>
      <c r="V283" s="572"/>
      <c r="W283" s="572"/>
      <c r="X283" s="572"/>
      <c r="Y283" s="572"/>
      <c r="Z283" s="572"/>
      <c r="AA283" s="572"/>
      <c r="AB283" s="572"/>
      <c r="AC283" s="572"/>
    </row>
    <row r="284" spans="1:29" s="250" customFormat="1" ht="20.25">
      <c r="A284" s="488" t="s">
        <v>368</v>
      </c>
      <c r="B284" s="529"/>
      <c r="C284" s="231" t="s">
        <v>284</v>
      </c>
      <c r="D284" s="546">
        <f>20000-20000</f>
        <v>0</v>
      </c>
      <c r="E284" s="547"/>
      <c r="F284" s="252">
        <f t="shared" si="31"/>
        <v>0</v>
      </c>
      <c r="T284" s="572"/>
      <c r="U284" s="572"/>
      <c r="V284" s="572"/>
      <c r="W284" s="572"/>
      <c r="X284" s="572"/>
      <c r="Y284" s="572"/>
      <c r="Z284" s="572"/>
      <c r="AA284" s="572"/>
      <c r="AB284" s="572"/>
      <c r="AC284" s="572"/>
    </row>
    <row r="285" spans="1:29" s="250" customFormat="1" ht="20.25">
      <c r="A285" s="518" t="s">
        <v>369</v>
      </c>
      <c r="B285" s="530"/>
      <c r="C285" s="231" t="s">
        <v>284</v>
      </c>
      <c r="D285" s="512">
        <v>10000</v>
      </c>
      <c r="E285" s="248">
        <v>10000</v>
      </c>
      <c r="F285" s="249">
        <f t="shared" si="31"/>
        <v>0</v>
      </c>
      <c r="T285" s="572"/>
      <c r="U285" s="572"/>
      <c r="V285" s="572"/>
      <c r="W285" s="572"/>
      <c r="X285" s="572"/>
      <c r="Y285" s="572"/>
      <c r="Z285" s="572"/>
      <c r="AA285" s="572"/>
      <c r="AB285" s="572"/>
      <c r="AC285" s="572"/>
    </row>
    <row r="286" spans="1:29" s="250" customFormat="1" ht="20.25">
      <c r="A286" s="223" t="s">
        <v>60</v>
      </c>
      <c r="B286" s="245"/>
      <c r="C286" s="232"/>
      <c r="D286" s="540">
        <f>SUM(D282:D285)</f>
        <v>45000</v>
      </c>
      <c r="E286" s="540">
        <f>SUM(E282:E285)</f>
        <v>37568</v>
      </c>
      <c r="F286" s="531">
        <f t="shared" si="31"/>
        <v>7432</v>
      </c>
      <c r="T286" s="572"/>
      <c r="U286" s="572"/>
      <c r="V286" s="572"/>
      <c r="W286" s="572"/>
      <c r="X286" s="572"/>
      <c r="Y286" s="572"/>
      <c r="Z286" s="572"/>
      <c r="AA286" s="572"/>
      <c r="AB286" s="572"/>
      <c r="AC286" s="572"/>
    </row>
    <row r="287" spans="1:29" s="250" customFormat="1" ht="20.25">
      <c r="A287" s="548" t="s">
        <v>799</v>
      </c>
      <c r="B287" s="238" t="s">
        <v>625</v>
      </c>
      <c r="C287" s="239" t="s">
        <v>371</v>
      </c>
      <c r="D287" s="516">
        <v>911000</v>
      </c>
      <c r="E287" s="516">
        <v>804553.36</v>
      </c>
      <c r="F287" s="247">
        <f t="shared" si="31"/>
        <v>106446.64000000001</v>
      </c>
      <c r="T287" s="572"/>
      <c r="U287" s="572"/>
      <c r="V287" s="572"/>
      <c r="W287" s="572"/>
      <c r="X287" s="572"/>
      <c r="Y287" s="572"/>
      <c r="Z287" s="572"/>
      <c r="AA287" s="572"/>
      <c r="AB287" s="572"/>
      <c r="AC287" s="572"/>
    </row>
    <row r="288" spans="1:29" s="250" customFormat="1" ht="20.25">
      <c r="A288" s="549"/>
      <c r="B288" s="530"/>
      <c r="C288" s="237"/>
      <c r="D288" s="253"/>
      <c r="E288" s="253"/>
      <c r="F288" s="249"/>
      <c r="T288" s="572"/>
      <c r="U288" s="572"/>
      <c r="V288" s="572"/>
      <c r="W288" s="572"/>
      <c r="X288" s="572"/>
      <c r="Y288" s="572"/>
      <c r="Z288" s="572"/>
      <c r="AA288" s="572"/>
      <c r="AB288" s="572"/>
      <c r="AC288" s="572"/>
    </row>
    <row r="289" spans="1:29" s="250" customFormat="1" ht="20.25">
      <c r="A289" s="223" t="s">
        <v>60</v>
      </c>
      <c r="B289" s="245"/>
      <c r="C289" s="232"/>
      <c r="D289" s="540">
        <f>SUM(D287:D288)</f>
        <v>911000</v>
      </c>
      <c r="E289" s="540">
        <f>SUM(E287:E288)</f>
        <v>804553.36</v>
      </c>
      <c r="F289" s="531">
        <f>D289-E289</f>
        <v>106446.64000000001</v>
      </c>
      <c r="T289" s="572"/>
      <c r="U289" s="572"/>
      <c r="V289" s="572"/>
      <c r="W289" s="572"/>
      <c r="X289" s="572"/>
      <c r="Y289" s="572"/>
      <c r="Z289" s="572"/>
      <c r="AA289" s="572"/>
      <c r="AB289" s="572"/>
      <c r="AC289" s="572"/>
    </row>
    <row r="290" spans="1:29" s="250" customFormat="1" ht="20.25">
      <c r="A290" s="486" t="s">
        <v>335</v>
      </c>
      <c r="B290" s="502" t="s">
        <v>626</v>
      </c>
      <c r="C290" s="532" t="s">
        <v>341</v>
      </c>
      <c r="D290" s="538"/>
      <c r="E290" s="264"/>
      <c r="F290" s="265"/>
      <c r="T290" s="572"/>
      <c r="U290" s="572"/>
      <c r="V290" s="572"/>
      <c r="W290" s="572"/>
      <c r="X290" s="572"/>
      <c r="Y290" s="572"/>
      <c r="Z290" s="572"/>
      <c r="AA290" s="572"/>
      <c r="AB290" s="572"/>
      <c r="AC290" s="572"/>
    </row>
    <row r="291" spans="1:6" ht="20.25">
      <c r="A291" s="488" t="s">
        <v>340</v>
      </c>
      <c r="B291" s="529"/>
      <c r="C291" s="231" t="s">
        <v>284</v>
      </c>
      <c r="D291" s="546">
        <v>10000</v>
      </c>
      <c r="E291" s="547">
        <v>0</v>
      </c>
      <c r="F291" s="252">
        <f>D291-E291</f>
        <v>10000</v>
      </c>
    </row>
    <row r="292" spans="1:6" ht="20.25">
      <c r="A292" s="488" t="s">
        <v>607</v>
      </c>
      <c r="B292" s="529"/>
      <c r="C292" s="231" t="s">
        <v>284</v>
      </c>
      <c r="D292" s="546">
        <f>10000+41640</f>
        <v>51640</v>
      </c>
      <c r="E292" s="547">
        <v>40300</v>
      </c>
      <c r="F292" s="252">
        <f>D292-E292</f>
        <v>11340</v>
      </c>
    </row>
    <row r="293" spans="1:6" ht="20.25">
      <c r="A293" s="518" t="s">
        <v>608</v>
      </c>
      <c r="B293" s="530"/>
      <c r="C293" s="231" t="s">
        <v>284</v>
      </c>
      <c r="D293" s="512">
        <v>10000</v>
      </c>
      <c r="E293" s="248">
        <v>9950</v>
      </c>
      <c r="F293" s="249">
        <f>D293-E293</f>
        <v>50</v>
      </c>
    </row>
    <row r="294" spans="1:19" ht="20.25">
      <c r="A294" s="223" t="s">
        <v>60</v>
      </c>
      <c r="B294" s="245"/>
      <c r="C294" s="245"/>
      <c r="D294" s="540">
        <f>SUM(D291:D293)</f>
        <v>71640</v>
      </c>
      <c r="E294" s="550">
        <f>SUM(E291:E293)</f>
        <v>50250</v>
      </c>
      <c r="F294" s="531">
        <f>D294-E294</f>
        <v>21390</v>
      </c>
      <c r="G294" s="250">
        <f aca="true" t="shared" si="32" ref="G294:S294">SUM(G291:G293)</f>
        <v>0</v>
      </c>
      <c r="H294" s="250">
        <f t="shared" si="32"/>
        <v>0</v>
      </c>
      <c r="I294" s="250">
        <f t="shared" si="32"/>
        <v>0</v>
      </c>
      <c r="J294" s="250">
        <f t="shared" si="32"/>
        <v>0</v>
      </c>
      <c r="K294" s="250">
        <f t="shared" si="32"/>
        <v>0</v>
      </c>
      <c r="L294" s="250">
        <f t="shared" si="32"/>
        <v>0</v>
      </c>
      <c r="M294" s="250">
        <f t="shared" si="32"/>
        <v>0</v>
      </c>
      <c r="N294" s="250">
        <f t="shared" si="32"/>
        <v>0</v>
      </c>
      <c r="O294" s="250">
        <f t="shared" si="32"/>
        <v>0</v>
      </c>
      <c r="P294" s="250">
        <f t="shared" si="32"/>
        <v>0</v>
      </c>
      <c r="Q294" s="250">
        <f t="shared" si="32"/>
        <v>0</v>
      </c>
      <c r="R294" s="250">
        <f t="shared" si="32"/>
        <v>0</v>
      </c>
      <c r="S294" s="250">
        <f t="shared" si="32"/>
        <v>0</v>
      </c>
    </row>
    <row r="295" spans="1:6" ht="20.25">
      <c r="A295" s="525" t="s">
        <v>335</v>
      </c>
      <c r="B295" s="231" t="s">
        <v>620</v>
      </c>
      <c r="C295" s="231" t="s">
        <v>393</v>
      </c>
      <c r="D295" s="578"/>
      <c r="E295" s="251"/>
      <c r="F295" s="247"/>
    </row>
    <row r="296" spans="1:6" ht="20.25">
      <c r="A296" s="488" t="s">
        <v>340</v>
      </c>
      <c r="B296" s="237" t="s">
        <v>387</v>
      </c>
      <c r="C296" s="231" t="s">
        <v>284</v>
      </c>
      <c r="D296" s="546">
        <v>20000</v>
      </c>
      <c r="E296" s="547">
        <v>0</v>
      </c>
      <c r="F296" s="252">
        <f>D296-E296</f>
        <v>20000</v>
      </c>
    </row>
    <row r="297" spans="1:6" ht="20.25">
      <c r="A297" s="518" t="s">
        <v>342</v>
      </c>
      <c r="B297" s="237"/>
      <c r="C297" s="231" t="s">
        <v>284</v>
      </c>
      <c r="D297" s="512">
        <v>10000</v>
      </c>
      <c r="E297" s="248">
        <v>10000</v>
      </c>
      <c r="F297" s="249">
        <f>D297-E297</f>
        <v>0</v>
      </c>
    </row>
    <row r="298" spans="1:6" ht="20.25">
      <c r="A298" s="223" t="s">
        <v>60</v>
      </c>
      <c r="B298" s="245"/>
      <c r="C298" s="245"/>
      <c r="D298" s="540">
        <f>SUM(D295:D297)</f>
        <v>30000</v>
      </c>
      <c r="E298" s="550">
        <f>SUM(E295:E297)</f>
        <v>10000</v>
      </c>
      <c r="F298" s="531">
        <f>D298-E298</f>
        <v>20000</v>
      </c>
    </row>
    <row r="299" spans="1:6" ht="20.25">
      <c r="A299" s="525" t="s">
        <v>335</v>
      </c>
      <c r="B299" s="238" t="s">
        <v>627</v>
      </c>
      <c r="C299" s="244"/>
      <c r="D299" s="578"/>
      <c r="E299" s="251"/>
      <c r="F299" s="247"/>
    </row>
    <row r="300" spans="1:6" ht="20.25">
      <c r="A300" s="235" t="s">
        <v>399</v>
      </c>
      <c r="B300" s="231" t="s">
        <v>111</v>
      </c>
      <c r="C300" s="495" t="s">
        <v>328</v>
      </c>
      <c r="D300" s="546">
        <v>9000</v>
      </c>
      <c r="E300" s="547">
        <v>0</v>
      </c>
      <c r="F300" s="252">
        <f>D300-E300</f>
        <v>9000</v>
      </c>
    </row>
    <row r="301" spans="1:6" ht="20.25">
      <c r="A301" s="236"/>
      <c r="B301" s="530"/>
      <c r="C301" s="530"/>
      <c r="D301" s="253"/>
      <c r="E301" s="254"/>
      <c r="F301" s="249"/>
    </row>
    <row r="302" spans="1:6" ht="20.25">
      <c r="A302" s="223" t="s">
        <v>60</v>
      </c>
      <c r="B302" s="245"/>
      <c r="C302" s="245"/>
      <c r="D302" s="540">
        <f>SUM(D300:D301)</f>
        <v>9000</v>
      </c>
      <c r="E302" s="540">
        <f>SUM(E300:E301)</f>
        <v>0</v>
      </c>
      <c r="F302" s="531">
        <f>D302-E302</f>
        <v>9000</v>
      </c>
    </row>
    <row r="303" spans="1:19" ht="20.25">
      <c r="A303" s="282" t="s">
        <v>343</v>
      </c>
      <c r="B303" s="241"/>
      <c r="C303" s="241"/>
      <c r="D303" s="490">
        <f>D264+D266+D269+D277+D280+D286+D289+D294+D298+D302</f>
        <v>1937240</v>
      </c>
      <c r="E303" s="490">
        <f>E264+E266+E269+E277+E280+E286+E289+E294+E298+E302</f>
        <v>1528543.9100000001</v>
      </c>
      <c r="F303" s="490">
        <f>F302+F298+F294+F289+F286+F280+F277+F269+F266+F264</f>
        <v>408696.08999999997</v>
      </c>
      <c r="G303" s="584"/>
      <c r="H303" s="575"/>
      <c r="I303" s="575"/>
      <c r="J303" s="575"/>
      <c r="K303" s="575"/>
      <c r="L303" s="575"/>
      <c r="M303" s="575"/>
      <c r="N303" s="575"/>
      <c r="O303" s="575"/>
      <c r="P303" s="575"/>
      <c r="Q303" s="575"/>
      <c r="R303" s="575"/>
      <c r="S303" s="575"/>
    </row>
    <row r="304" spans="1:6" ht="20.25">
      <c r="A304" s="492" t="s">
        <v>344</v>
      </c>
      <c r="B304" s="502" t="s">
        <v>306</v>
      </c>
      <c r="C304" s="495" t="s">
        <v>337</v>
      </c>
      <c r="D304" s="538"/>
      <c r="E304" s="539"/>
      <c r="F304" s="539"/>
    </row>
    <row r="305" spans="1:28" ht="20.25">
      <c r="A305" s="213" t="s">
        <v>614</v>
      </c>
      <c r="B305" s="231"/>
      <c r="C305" s="231" t="s">
        <v>284</v>
      </c>
      <c r="D305" s="546">
        <f>360280-10000</f>
        <v>350280</v>
      </c>
      <c r="E305" s="243">
        <v>220411.98</v>
      </c>
      <c r="F305" s="551">
        <f aca="true" t="shared" si="33" ref="F305:F310">D305-E305</f>
        <v>129868.01999999999</v>
      </c>
      <c r="T305" s="250">
        <f>SUM(G305:S305)</f>
        <v>0</v>
      </c>
      <c r="U305" s="250">
        <f aca="true" t="shared" si="34" ref="U305:AB305">SUM(U291:U304)</f>
        <v>0</v>
      </c>
      <c r="V305" s="250">
        <f t="shared" si="34"/>
        <v>0</v>
      </c>
      <c r="W305" s="250">
        <f t="shared" si="34"/>
        <v>0</v>
      </c>
      <c r="X305" s="250">
        <f t="shared" si="34"/>
        <v>0</v>
      </c>
      <c r="Y305" s="250">
        <f t="shared" si="34"/>
        <v>0</v>
      </c>
      <c r="Z305" s="250">
        <f t="shared" si="34"/>
        <v>0</v>
      </c>
      <c r="AA305" s="250">
        <f t="shared" si="34"/>
        <v>0</v>
      </c>
      <c r="AB305" s="250">
        <f t="shared" si="34"/>
        <v>0</v>
      </c>
    </row>
    <row r="306" spans="1:6" ht="20.25">
      <c r="A306" s="213" t="s">
        <v>800</v>
      </c>
      <c r="B306" s="231"/>
      <c r="C306" s="231" t="s">
        <v>284</v>
      </c>
      <c r="D306" s="546">
        <v>20000</v>
      </c>
      <c r="E306" s="243">
        <v>7668.72</v>
      </c>
      <c r="F306" s="551">
        <f t="shared" si="33"/>
        <v>12331.279999999999</v>
      </c>
    </row>
    <row r="307" spans="1:6" ht="20.25">
      <c r="A307" s="213" t="s">
        <v>615</v>
      </c>
      <c r="B307" s="231"/>
      <c r="C307" s="231" t="s">
        <v>284</v>
      </c>
      <c r="D307" s="546">
        <v>15000</v>
      </c>
      <c r="E307" s="243">
        <v>2781.47</v>
      </c>
      <c r="F307" s="551">
        <f t="shared" si="33"/>
        <v>12218.53</v>
      </c>
    </row>
    <row r="308" spans="1:6" ht="20.25">
      <c r="A308" s="213" t="s">
        <v>616</v>
      </c>
      <c r="B308" s="231"/>
      <c r="C308" s="231" t="s">
        <v>284</v>
      </c>
      <c r="D308" s="546">
        <v>20000</v>
      </c>
      <c r="E308" s="243">
        <v>7198</v>
      </c>
      <c r="F308" s="551">
        <f t="shared" si="33"/>
        <v>12802</v>
      </c>
    </row>
    <row r="309" spans="1:6" ht="20.25">
      <c r="A309" s="217" t="s">
        <v>617</v>
      </c>
      <c r="B309" s="237"/>
      <c r="C309" s="231" t="s">
        <v>284</v>
      </c>
      <c r="D309" s="512">
        <f>95000+10000</f>
        <v>105000</v>
      </c>
      <c r="E309" s="545">
        <v>101930.4</v>
      </c>
      <c r="F309" s="254">
        <f t="shared" si="33"/>
        <v>3069.600000000006</v>
      </c>
    </row>
    <row r="310" spans="1:19" ht="20.25">
      <c r="A310" s="223" t="s">
        <v>60</v>
      </c>
      <c r="B310" s="232"/>
      <c r="C310" s="232"/>
      <c r="D310" s="490">
        <f>SUM(D304:D309)</f>
        <v>510280</v>
      </c>
      <c r="E310" s="550">
        <f>SUM(E305:E309)</f>
        <v>339990.57</v>
      </c>
      <c r="F310" s="550">
        <f t="shared" si="33"/>
        <v>170289.43</v>
      </c>
      <c r="G310" s="250">
        <f aca="true" t="shared" si="35" ref="G310:S310">SUM(G305:G307)</f>
        <v>0</v>
      </c>
      <c r="H310" s="250">
        <f t="shared" si="35"/>
        <v>0</v>
      </c>
      <c r="I310" s="250">
        <f t="shared" si="35"/>
        <v>0</v>
      </c>
      <c r="J310" s="250">
        <f t="shared" si="35"/>
        <v>0</v>
      </c>
      <c r="K310" s="250">
        <f t="shared" si="35"/>
        <v>0</v>
      </c>
      <c r="L310" s="250">
        <f t="shared" si="35"/>
        <v>0</v>
      </c>
      <c r="M310" s="250">
        <f t="shared" si="35"/>
        <v>0</v>
      </c>
      <c r="N310" s="250">
        <f t="shared" si="35"/>
        <v>0</v>
      </c>
      <c r="O310" s="250">
        <f t="shared" si="35"/>
        <v>0</v>
      </c>
      <c r="P310" s="250">
        <f t="shared" si="35"/>
        <v>0</v>
      </c>
      <c r="Q310" s="250">
        <f t="shared" si="35"/>
        <v>0</v>
      </c>
      <c r="R310" s="250">
        <f t="shared" si="35"/>
        <v>0</v>
      </c>
      <c r="S310" s="250">
        <f t="shared" si="35"/>
        <v>0</v>
      </c>
    </row>
    <row r="311" spans="1:20" ht="20.25">
      <c r="A311" s="492" t="s">
        <v>344</v>
      </c>
      <c r="B311" s="244"/>
      <c r="C311" s="239"/>
      <c r="D311" s="578"/>
      <c r="E311" s="255"/>
      <c r="F311" s="225"/>
      <c r="T311" s="250"/>
    </row>
    <row r="312" spans="1:20" ht="20.25">
      <c r="A312" s="488" t="s">
        <v>614</v>
      </c>
      <c r="B312" s="231" t="s">
        <v>625</v>
      </c>
      <c r="C312" s="234" t="s">
        <v>372</v>
      </c>
      <c r="D312" s="546">
        <v>40000</v>
      </c>
      <c r="E312" s="256">
        <v>17104.88</v>
      </c>
      <c r="F312" s="213">
        <f>D312-E312</f>
        <v>22895.12</v>
      </c>
      <c r="T312" s="250"/>
    </row>
    <row r="313" spans="1:20" ht="20.25">
      <c r="A313" s="488" t="s">
        <v>345</v>
      </c>
      <c r="B313" s="231" t="s">
        <v>363</v>
      </c>
      <c r="C313" s="231" t="s">
        <v>284</v>
      </c>
      <c r="D313" s="546">
        <v>20000</v>
      </c>
      <c r="E313" s="256">
        <v>5738.41</v>
      </c>
      <c r="F313" s="213">
        <f>D313-E313</f>
        <v>14261.59</v>
      </c>
      <c r="T313" s="250"/>
    </row>
    <row r="314" spans="1:20" ht="20.25">
      <c r="A314" s="488"/>
      <c r="B314" s="231" t="s">
        <v>361</v>
      </c>
      <c r="C314" s="234"/>
      <c r="D314" s="546"/>
      <c r="E314" s="256"/>
      <c r="F314" s="213">
        <f>D314-E314</f>
        <v>0</v>
      </c>
      <c r="T314" s="250"/>
    </row>
    <row r="315" spans="1:20" ht="20.25">
      <c r="A315" s="552" t="s">
        <v>60</v>
      </c>
      <c r="B315" s="237"/>
      <c r="C315" s="533"/>
      <c r="D315" s="253">
        <f>SUM(D312:D314)</f>
        <v>60000</v>
      </c>
      <c r="E315" s="253">
        <f>SUM(E312:E314)</f>
        <v>22843.29</v>
      </c>
      <c r="F315" s="226">
        <f>D315-E315</f>
        <v>37156.71</v>
      </c>
      <c r="T315" s="250"/>
    </row>
    <row r="316" spans="1:6" ht="20.25">
      <c r="A316" s="282" t="s">
        <v>346</v>
      </c>
      <c r="B316" s="241"/>
      <c r="C316" s="241"/>
      <c r="D316" s="490">
        <f>D315+D310</f>
        <v>570280</v>
      </c>
      <c r="E316" s="490">
        <f>E310+E315</f>
        <v>362833.86</v>
      </c>
      <c r="F316" s="491">
        <f>D316-E316</f>
        <v>207446.14</v>
      </c>
    </row>
    <row r="317" spans="1:19" ht="20.25">
      <c r="A317" s="492" t="s">
        <v>347</v>
      </c>
      <c r="B317" s="502"/>
      <c r="C317" s="494"/>
      <c r="D317" s="538"/>
      <c r="E317" s="539"/>
      <c r="F317" s="539"/>
      <c r="G317" s="212"/>
      <c r="H317" s="212"/>
      <c r="I317" s="212"/>
      <c r="J317" s="212"/>
      <c r="K317" s="212"/>
      <c r="L317" s="212"/>
      <c r="M317" s="212"/>
      <c r="N317" s="212"/>
      <c r="O317" s="212"/>
      <c r="P317" s="212"/>
      <c r="Q317" s="212"/>
      <c r="R317" s="212"/>
      <c r="S317" s="212"/>
    </row>
    <row r="318" spans="1:19" ht="20.25">
      <c r="A318" s="213" t="s">
        <v>618</v>
      </c>
      <c r="B318" s="231"/>
      <c r="C318" s="211"/>
      <c r="D318" s="554"/>
      <c r="E318" s="529"/>
      <c r="F318" s="551"/>
      <c r="G318" s="505"/>
      <c r="H318" s="505"/>
      <c r="I318" s="505"/>
      <c r="J318" s="505"/>
      <c r="K318" s="505"/>
      <c r="L318" s="505"/>
      <c r="M318" s="505"/>
      <c r="N318" s="505"/>
      <c r="O318" s="505"/>
      <c r="P318" s="505"/>
      <c r="Q318" s="505"/>
      <c r="R318" s="505"/>
      <c r="S318" s="212"/>
    </row>
    <row r="319" spans="1:19" ht="20.25">
      <c r="A319" s="213" t="s">
        <v>619</v>
      </c>
      <c r="B319" s="231" t="s">
        <v>306</v>
      </c>
      <c r="C319" s="211" t="s">
        <v>350</v>
      </c>
      <c r="D319" s="546">
        <v>35000</v>
      </c>
      <c r="E319" s="546">
        <v>27000</v>
      </c>
      <c r="F319" s="551">
        <f>D319-E319</f>
        <v>8000</v>
      </c>
      <c r="G319" s="505"/>
      <c r="H319" s="505"/>
      <c r="I319" s="505"/>
      <c r="J319" s="505"/>
      <c r="K319" s="505"/>
      <c r="L319" s="505"/>
      <c r="M319" s="505"/>
      <c r="N319" s="505"/>
      <c r="O319" s="505"/>
      <c r="P319" s="505"/>
      <c r="Q319" s="505"/>
      <c r="R319" s="505"/>
      <c r="S319" s="212"/>
    </row>
    <row r="320" spans="1:19" ht="20.25">
      <c r="A320" s="213"/>
      <c r="B320" s="231"/>
      <c r="C320" s="211"/>
      <c r="D320" s="554"/>
      <c r="E320" s="529"/>
      <c r="F320" s="551"/>
      <c r="G320" s="505"/>
      <c r="H320" s="505"/>
      <c r="I320" s="505"/>
      <c r="J320" s="505"/>
      <c r="K320" s="505"/>
      <c r="L320" s="505"/>
      <c r="M320" s="505"/>
      <c r="N320" s="505"/>
      <c r="O320" s="505"/>
      <c r="P320" s="505"/>
      <c r="Q320" s="505"/>
      <c r="R320" s="505"/>
      <c r="S320" s="212">
        <f>SUM(G320:R320)</f>
        <v>0</v>
      </c>
    </row>
    <row r="321" spans="1:19" ht="20.25">
      <c r="A321" s="553" t="s">
        <v>348</v>
      </c>
      <c r="B321" s="231"/>
      <c r="C321" s="211"/>
      <c r="D321" s="554">
        <f>SUM(D318:D320)</f>
        <v>35000</v>
      </c>
      <c r="E321" s="554">
        <f aca="true" t="shared" si="36" ref="E321:R321">SUM(E318:E320)</f>
        <v>27000</v>
      </c>
      <c r="F321" s="551">
        <f t="shared" si="36"/>
        <v>8000</v>
      </c>
      <c r="G321" s="505">
        <f t="shared" si="36"/>
        <v>0</v>
      </c>
      <c r="H321" s="505"/>
      <c r="I321" s="505">
        <f t="shared" si="36"/>
        <v>0</v>
      </c>
      <c r="J321" s="505">
        <f t="shared" si="36"/>
        <v>0</v>
      </c>
      <c r="K321" s="505">
        <f t="shared" si="36"/>
        <v>0</v>
      </c>
      <c r="L321" s="505">
        <f t="shared" si="36"/>
        <v>0</v>
      </c>
      <c r="M321" s="505">
        <f t="shared" si="36"/>
        <v>0</v>
      </c>
      <c r="N321" s="505">
        <f t="shared" si="36"/>
        <v>0</v>
      </c>
      <c r="O321" s="505">
        <f t="shared" si="36"/>
        <v>0</v>
      </c>
      <c r="P321" s="505">
        <f t="shared" si="36"/>
        <v>0</v>
      </c>
      <c r="Q321" s="505">
        <f t="shared" si="36"/>
        <v>0</v>
      </c>
      <c r="R321" s="505">
        <f t="shared" si="36"/>
        <v>0</v>
      </c>
      <c r="S321" s="212">
        <f>SUM(G321:R321)</f>
        <v>0</v>
      </c>
    </row>
    <row r="322" spans="1:19" s="263" customFormat="1" ht="20.25">
      <c r="A322" s="230" t="s">
        <v>349</v>
      </c>
      <c r="B322" s="231"/>
      <c r="C322" s="211"/>
      <c r="D322" s="554"/>
      <c r="E322" s="529"/>
      <c r="F322" s="529"/>
      <c r="G322" s="521"/>
      <c r="H322" s="521"/>
      <c r="I322" s="521"/>
      <c r="J322" s="521"/>
      <c r="K322" s="521"/>
      <c r="L322" s="521"/>
      <c r="M322" s="521"/>
      <c r="N322" s="521"/>
      <c r="O322" s="521"/>
      <c r="P322" s="521"/>
      <c r="Q322" s="521"/>
      <c r="R322" s="521"/>
      <c r="S322" s="521"/>
    </row>
    <row r="323" spans="1:19" ht="20.25">
      <c r="A323" s="213" t="s">
        <v>422</v>
      </c>
      <c r="B323" s="231" t="s">
        <v>306</v>
      </c>
      <c r="C323" s="211" t="s">
        <v>350</v>
      </c>
      <c r="D323" s="546">
        <v>32000</v>
      </c>
      <c r="E323" s="546">
        <v>0</v>
      </c>
      <c r="F323" s="213">
        <f>D323-E323</f>
        <v>32000</v>
      </c>
      <c r="G323" s="585"/>
      <c r="H323" s="586"/>
      <c r="I323" s="586"/>
      <c r="J323" s="586"/>
      <c r="K323" s="586"/>
      <c r="L323" s="586"/>
      <c r="M323" s="586"/>
      <c r="N323" s="586"/>
      <c r="O323" s="586"/>
      <c r="P323" s="586"/>
      <c r="Q323" s="586"/>
      <c r="R323" s="586"/>
      <c r="S323" s="586"/>
    </row>
    <row r="324" spans="1:19" ht="20.25">
      <c r="A324" s="217"/>
      <c r="B324" s="237"/>
      <c r="C324" s="504"/>
      <c r="D324" s="512"/>
      <c r="E324" s="512"/>
      <c r="F324" s="217"/>
      <c r="G324" s="587"/>
      <c r="H324" s="587"/>
      <c r="I324" s="587"/>
      <c r="J324" s="587"/>
      <c r="K324" s="587"/>
      <c r="L324" s="587"/>
      <c r="M324" s="587"/>
      <c r="N324" s="587"/>
      <c r="O324" s="587"/>
      <c r="P324" s="587"/>
      <c r="Q324" s="587"/>
      <c r="R324" s="587"/>
      <c r="S324" s="586"/>
    </row>
    <row r="325" spans="1:19" ht="20.25">
      <c r="A325" s="223" t="s">
        <v>60</v>
      </c>
      <c r="B325" s="232"/>
      <c r="C325" s="241"/>
      <c r="D325" s="515">
        <f>SUM(D323:D324)</f>
        <v>32000</v>
      </c>
      <c r="E325" s="515">
        <f>SUM(E323:E324)</f>
        <v>0</v>
      </c>
      <c r="F325" s="224">
        <f>D325-E325</f>
        <v>32000</v>
      </c>
      <c r="G325" s="587"/>
      <c r="H325" s="587"/>
      <c r="I325" s="587"/>
      <c r="J325" s="587"/>
      <c r="K325" s="587"/>
      <c r="L325" s="587"/>
      <c r="M325" s="587"/>
      <c r="N325" s="587"/>
      <c r="O325" s="587"/>
      <c r="P325" s="587"/>
      <c r="Q325" s="587"/>
      <c r="R325" s="587"/>
      <c r="S325" s="586"/>
    </row>
    <row r="326" spans="1:19" ht="20.25">
      <c r="A326" s="222" t="s">
        <v>373</v>
      </c>
      <c r="B326" s="238" t="s">
        <v>625</v>
      </c>
      <c r="C326" s="257" t="s">
        <v>372</v>
      </c>
      <c r="D326" s="516"/>
      <c r="E326" s="516"/>
      <c r="F326" s="222"/>
      <c r="S326" s="588"/>
    </row>
    <row r="327" spans="1:19" ht="20.25">
      <c r="A327" s="213" t="s">
        <v>374</v>
      </c>
      <c r="B327" s="231" t="s">
        <v>363</v>
      </c>
      <c r="C327" s="231" t="s">
        <v>87</v>
      </c>
      <c r="D327" s="212">
        <v>636000</v>
      </c>
      <c r="E327" s="546">
        <v>632000</v>
      </c>
      <c r="F327" s="213">
        <f>D327-E327</f>
        <v>4000</v>
      </c>
      <c r="G327" s="217"/>
      <c r="S327" s="588"/>
    </row>
    <row r="328" spans="1:19" ht="20.25">
      <c r="A328" s="213" t="s">
        <v>806</v>
      </c>
      <c r="B328" s="231" t="s">
        <v>361</v>
      </c>
      <c r="C328" s="231" t="s">
        <v>87</v>
      </c>
      <c r="D328" s="212">
        <v>30000</v>
      </c>
      <c r="E328" s="546">
        <v>0</v>
      </c>
      <c r="F328" s="213">
        <f>D328-E328</f>
        <v>30000</v>
      </c>
      <c r="G328" s="217"/>
      <c r="S328" s="588"/>
    </row>
    <row r="329" spans="1:19" ht="20.25">
      <c r="A329" s="488" t="s">
        <v>801</v>
      </c>
      <c r="B329" s="211"/>
      <c r="C329" s="231" t="s">
        <v>87</v>
      </c>
      <c r="D329" s="212"/>
      <c r="E329" s="213"/>
      <c r="F329" s="213"/>
      <c r="S329" s="588">
        <f>SUM(G329:R329)</f>
        <v>0</v>
      </c>
    </row>
    <row r="330" spans="1:19" ht="20.25">
      <c r="A330" s="488" t="s">
        <v>375</v>
      </c>
      <c r="B330" s="211"/>
      <c r="C330" s="231" t="s">
        <v>87</v>
      </c>
      <c r="D330" s="212">
        <v>216000</v>
      </c>
      <c r="E330" s="213">
        <v>212000</v>
      </c>
      <c r="F330" s="213">
        <f>D330-E330</f>
        <v>4000</v>
      </c>
      <c r="S330" s="588"/>
    </row>
    <row r="331" spans="1:19" ht="20.25">
      <c r="A331" s="488" t="s">
        <v>802</v>
      </c>
      <c r="B331" s="211"/>
      <c r="C331" s="231" t="s">
        <v>87</v>
      </c>
      <c r="D331" s="212">
        <v>25000</v>
      </c>
      <c r="E331" s="213">
        <v>0</v>
      </c>
      <c r="F331" s="213">
        <f>D331-E331</f>
        <v>25000</v>
      </c>
      <c r="S331" s="588"/>
    </row>
    <row r="332" spans="1:19" ht="20.25">
      <c r="A332" s="488" t="s">
        <v>803</v>
      </c>
      <c r="B332" s="211"/>
      <c r="C332" s="231" t="s">
        <v>87</v>
      </c>
      <c r="D332" s="212"/>
      <c r="E332" s="213"/>
      <c r="F332" s="213"/>
      <c r="S332" s="588"/>
    </row>
    <row r="333" spans="1:19" ht="20.25">
      <c r="A333" s="488" t="s">
        <v>376</v>
      </c>
      <c r="B333" s="211"/>
      <c r="C333" s="231" t="s">
        <v>87</v>
      </c>
      <c r="D333" s="212">
        <v>352000</v>
      </c>
      <c r="E333" s="213">
        <v>345000</v>
      </c>
      <c r="F333" s="213">
        <f>D333-E333</f>
        <v>7000</v>
      </c>
      <c r="S333" s="588"/>
    </row>
    <row r="334" spans="1:19" ht="20.25">
      <c r="A334" s="488" t="s">
        <v>807</v>
      </c>
      <c r="B334" s="211"/>
      <c r="C334" s="231" t="s">
        <v>87</v>
      </c>
      <c r="D334" s="212">
        <v>30000</v>
      </c>
      <c r="E334" s="213">
        <v>0</v>
      </c>
      <c r="F334" s="213">
        <f>D334-E334</f>
        <v>30000</v>
      </c>
      <c r="S334" s="588"/>
    </row>
    <row r="335" spans="1:19" ht="20.25">
      <c r="A335" s="488" t="s">
        <v>804</v>
      </c>
      <c r="B335" s="211"/>
      <c r="C335" s="231" t="s">
        <v>87</v>
      </c>
      <c r="D335" s="212"/>
      <c r="E335" s="213"/>
      <c r="F335" s="213"/>
      <c r="S335" s="588"/>
    </row>
    <row r="336" spans="1:19" ht="20.25">
      <c r="A336" s="488" t="s">
        <v>377</v>
      </c>
      <c r="B336" s="211"/>
      <c r="C336" s="231" t="s">
        <v>87</v>
      </c>
      <c r="D336" s="212">
        <v>296000</v>
      </c>
      <c r="E336" s="213">
        <v>307000</v>
      </c>
      <c r="F336" s="213">
        <f aca="true" t="shared" si="37" ref="F336:F342">D336-E336</f>
        <v>-11000</v>
      </c>
      <c r="S336" s="588"/>
    </row>
    <row r="337" spans="1:19" ht="20.25">
      <c r="A337" s="518" t="s">
        <v>805</v>
      </c>
      <c r="B337" s="504"/>
      <c r="C337" s="231" t="s">
        <v>87</v>
      </c>
      <c r="D337" s="505">
        <v>25000</v>
      </c>
      <c r="E337" s="217">
        <v>0</v>
      </c>
      <c r="F337" s="217">
        <f t="shared" si="37"/>
        <v>25000</v>
      </c>
      <c r="S337" s="588"/>
    </row>
    <row r="338" spans="1:20" ht="20.25">
      <c r="A338" s="223" t="s">
        <v>60</v>
      </c>
      <c r="B338" s="241"/>
      <c r="C338" s="555"/>
      <c r="D338" s="507">
        <f>SUM(D326:D337)</f>
        <v>1610000</v>
      </c>
      <c r="E338" s="507">
        <f>SUM(E326:E337)</f>
        <v>1496000</v>
      </c>
      <c r="F338" s="224">
        <f t="shared" si="37"/>
        <v>114000</v>
      </c>
      <c r="S338" s="588"/>
      <c r="T338" s="577"/>
    </row>
    <row r="339" spans="1:20" ht="20.25">
      <c r="A339" s="556" t="s">
        <v>396</v>
      </c>
      <c r="B339" s="557" t="s">
        <v>620</v>
      </c>
      <c r="C339" s="558" t="s">
        <v>395</v>
      </c>
      <c r="D339" s="559">
        <v>25000</v>
      </c>
      <c r="E339" s="227">
        <v>0</v>
      </c>
      <c r="F339" s="227">
        <f t="shared" si="37"/>
        <v>25000</v>
      </c>
      <c r="S339" s="588"/>
      <c r="T339" s="577">
        <f>SUM(G345:R345)</f>
        <v>0</v>
      </c>
    </row>
    <row r="340" spans="1:20" ht="20.25">
      <c r="A340" s="223" t="s">
        <v>60</v>
      </c>
      <c r="B340" s="241"/>
      <c r="C340" s="555" t="s">
        <v>386</v>
      </c>
      <c r="D340" s="515">
        <v>25000</v>
      </c>
      <c r="E340" s="224">
        <v>0</v>
      </c>
      <c r="F340" s="224">
        <f t="shared" si="37"/>
        <v>25000</v>
      </c>
      <c r="S340" s="588"/>
      <c r="T340" s="577"/>
    </row>
    <row r="341" spans="1:20" ht="20.25">
      <c r="A341" s="556" t="s">
        <v>405</v>
      </c>
      <c r="B341" s="557" t="s">
        <v>626</v>
      </c>
      <c r="C341" s="558" t="s">
        <v>395</v>
      </c>
      <c r="D341" s="559">
        <f>127500-127500</f>
        <v>0</v>
      </c>
      <c r="E341" s="227">
        <v>0</v>
      </c>
      <c r="F341" s="227">
        <f t="shared" si="37"/>
        <v>0</v>
      </c>
      <c r="S341" s="588"/>
      <c r="T341" s="577">
        <f>SUM(G347:R347)</f>
        <v>0</v>
      </c>
    </row>
    <row r="342" spans="1:20" ht="20.25">
      <c r="A342" s="223" t="s">
        <v>60</v>
      </c>
      <c r="B342" s="241"/>
      <c r="C342" s="555" t="s">
        <v>386</v>
      </c>
      <c r="D342" s="224">
        <v>0</v>
      </c>
      <c r="E342" s="224">
        <v>0</v>
      </c>
      <c r="F342" s="224">
        <f t="shared" si="37"/>
        <v>0</v>
      </c>
      <c r="S342" s="588"/>
      <c r="T342" s="577"/>
    </row>
    <row r="343" spans="1:20" ht="20.25">
      <c r="A343" s="477" t="s">
        <v>1062</v>
      </c>
      <c r="B343" s="257" t="s">
        <v>626</v>
      </c>
      <c r="C343" s="510" t="s">
        <v>872</v>
      </c>
      <c r="D343" s="516"/>
      <c r="E343" s="222"/>
      <c r="F343" s="215">
        <f>D343-E343</f>
        <v>0</v>
      </c>
      <c r="S343" s="588"/>
      <c r="T343" s="577">
        <f>SUM(G349:R349)</f>
        <v>0</v>
      </c>
    </row>
    <row r="344" spans="1:20" ht="20.25">
      <c r="A344" s="560" t="s">
        <v>60</v>
      </c>
      <c r="B344" s="489"/>
      <c r="C344" s="561" t="s">
        <v>172</v>
      </c>
      <c r="D344" s="562">
        <v>340000</v>
      </c>
      <c r="E344" s="215">
        <v>340000</v>
      </c>
      <c r="F344" s="215"/>
      <c r="S344" s="588"/>
      <c r="T344" s="577"/>
    </row>
    <row r="345" spans="1:19" ht="20.25">
      <c r="A345" s="282" t="s">
        <v>351</v>
      </c>
      <c r="B345" s="241"/>
      <c r="C345" s="241"/>
      <c r="D345" s="490">
        <f>D325+D338+D340+D342+D344</f>
        <v>2007000</v>
      </c>
      <c r="E345" s="490">
        <f>E325+E338+E340+E344</f>
        <v>1836000</v>
      </c>
      <c r="F345" s="490">
        <f>D345-E345</f>
        <v>171000</v>
      </c>
      <c r="G345" s="250">
        <f aca="true" t="shared" si="38" ref="G345:S345">SUM(G323:G342)</f>
        <v>0</v>
      </c>
      <c r="H345" s="250">
        <f t="shared" si="38"/>
        <v>0</v>
      </c>
      <c r="I345" s="250">
        <f t="shared" si="38"/>
        <v>0</v>
      </c>
      <c r="J345" s="250">
        <f t="shared" si="38"/>
        <v>0</v>
      </c>
      <c r="K345" s="250">
        <f t="shared" si="38"/>
        <v>0</v>
      </c>
      <c r="L345" s="250">
        <f t="shared" si="38"/>
        <v>0</v>
      </c>
      <c r="M345" s="250">
        <f t="shared" si="38"/>
        <v>0</v>
      </c>
      <c r="N345" s="250">
        <f t="shared" si="38"/>
        <v>0</v>
      </c>
      <c r="O345" s="250">
        <f t="shared" si="38"/>
        <v>0</v>
      </c>
      <c r="P345" s="250">
        <f t="shared" si="38"/>
        <v>0</v>
      </c>
      <c r="Q345" s="250">
        <f t="shared" si="38"/>
        <v>0</v>
      </c>
      <c r="R345" s="250">
        <f t="shared" si="38"/>
        <v>0</v>
      </c>
      <c r="S345" s="250">
        <f t="shared" si="38"/>
        <v>0</v>
      </c>
    </row>
    <row r="346" spans="1:19" ht="20.25">
      <c r="A346" s="223" t="s">
        <v>352</v>
      </c>
      <c r="B346" s="241"/>
      <c r="C346" s="241"/>
      <c r="D346" s="490">
        <f>D345+D321+D316+D303+D256+D133+D82+D23+D15</f>
        <v>41303200</v>
      </c>
      <c r="E346" s="490">
        <f>E345+E321+E316+E303+E256+E133+E82+E23+E15</f>
        <v>33197055.77</v>
      </c>
      <c r="F346" s="491">
        <f>D346-E346</f>
        <v>8106144.23</v>
      </c>
      <c r="G346" s="250">
        <f aca="true" t="shared" si="39" ref="G346:S346">G345+G316+G303+G256+G133+G82+G23+G15+G321</f>
        <v>0</v>
      </c>
      <c r="H346" s="250">
        <f t="shared" si="39"/>
        <v>0</v>
      </c>
      <c r="I346" s="250">
        <f t="shared" si="39"/>
        <v>0</v>
      </c>
      <c r="J346" s="250">
        <f t="shared" si="39"/>
        <v>0</v>
      </c>
      <c r="K346" s="250">
        <f t="shared" si="39"/>
        <v>0</v>
      </c>
      <c r="L346" s="250">
        <f t="shared" si="39"/>
        <v>0</v>
      </c>
      <c r="M346" s="250">
        <f t="shared" si="39"/>
        <v>0</v>
      </c>
      <c r="N346" s="250">
        <f t="shared" si="39"/>
        <v>0</v>
      </c>
      <c r="O346" s="250">
        <f t="shared" si="39"/>
        <v>0</v>
      </c>
      <c r="P346" s="250">
        <f t="shared" si="39"/>
        <v>0</v>
      </c>
      <c r="Q346" s="250">
        <f t="shared" si="39"/>
        <v>0</v>
      </c>
      <c r="R346" s="250">
        <f t="shared" si="39"/>
        <v>0</v>
      </c>
      <c r="S346" s="250">
        <f t="shared" si="39"/>
        <v>0</v>
      </c>
    </row>
    <row r="347" spans="1:6" ht="20.25">
      <c r="A347" s="492" t="s">
        <v>353</v>
      </c>
      <c r="B347" s="231"/>
      <c r="C347" s="257"/>
      <c r="D347" s="221"/>
      <c r="E347" s="222"/>
      <c r="F347" s="222"/>
    </row>
    <row r="348" spans="1:6" ht="20.25">
      <c r="A348" s="225" t="s">
        <v>354</v>
      </c>
      <c r="B348" s="231" t="s">
        <v>306</v>
      </c>
      <c r="C348" s="495" t="s">
        <v>337</v>
      </c>
      <c r="D348" s="221"/>
      <c r="E348" s="222"/>
      <c r="F348" s="222"/>
    </row>
    <row r="349" spans="1:6" ht="20.25">
      <c r="A349" s="488" t="s">
        <v>808</v>
      </c>
      <c r="B349" s="231"/>
      <c r="C349" s="231" t="s">
        <v>284</v>
      </c>
      <c r="D349" s="212">
        <v>6000</v>
      </c>
      <c r="E349" s="213">
        <v>5500</v>
      </c>
      <c r="F349" s="213">
        <f aca="true" t="shared" si="40" ref="F349:F362">D349-E349</f>
        <v>500</v>
      </c>
    </row>
    <row r="350" spans="1:6" ht="20.25">
      <c r="A350" s="488" t="s">
        <v>809</v>
      </c>
      <c r="B350" s="231"/>
      <c r="C350" s="231" t="s">
        <v>284</v>
      </c>
      <c r="D350" s="212">
        <v>2500</v>
      </c>
      <c r="E350" s="213">
        <v>2400</v>
      </c>
      <c r="F350" s="213">
        <f t="shared" si="40"/>
        <v>100</v>
      </c>
    </row>
    <row r="351" spans="1:6" ht="20.25">
      <c r="A351" s="488" t="s">
        <v>810</v>
      </c>
      <c r="B351" s="231"/>
      <c r="C351" s="231" t="s">
        <v>284</v>
      </c>
      <c r="D351" s="212">
        <v>4500</v>
      </c>
      <c r="E351" s="213">
        <v>4000</v>
      </c>
      <c r="F351" s="213">
        <f t="shared" si="40"/>
        <v>500</v>
      </c>
    </row>
    <row r="352" spans="1:6" ht="20.25">
      <c r="A352" s="488" t="s">
        <v>811</v>
      </c>
      <c r="B352" s="231"/>
      <c r="C352" s="231" t="s">
        <v>284</v>
      </c>
      <c r="D352" s="212">
        <v>4500</v>
      </c>
      <c r="E352" s="213">
        <v>4000</v>
      </c>
      <c r="F352" s="213">
        <f t="shared" si="40"/>
        <v>500</v>
      </c>
    </row>
    <row r="353" spans="1:6" ht="20.25">
      <c r="A353" s="488" t="s">
        <v>812</v>
      </c>
      <c r="B353" s="231"/>
      <c r="C353" s="231" t="s">
        <v>284</v>
      </c>
      <c r="D353" s="212">
        <v>46000</v>
      </c>
      <c r="E353" s="213">
        <v>45000</v>
      </c>
      <c r="F353" s="213">
        <f t="shared" si="40"/>
        <v>1000</v>
      </c>
    </row>
    <row r="354" spans="1:6" ht="20.25">
      <c r="A354" s="488" t="s">
        <v>813</v>
      </c>
      <c r="B354" s="231"/>
      <c r="C354" s="231" t="s">
        <v>284</v>
      </c>
      <c r="D354" s="212">
        <v>2800</v>
      </c>
      <c r="E354" s="213">
        <v>2500</v>
      </c>
      <c r="F354" s="213">
        <f t="shared" si="40"/>
        <v>300</v>
      </c>
    </row>
    <row r="355" spans="1:6" ht="20.25">
      <c r="A355" s="488" t="s">
        <v>814</v>
      </c>
      <c r="B355" s="231"/>
      <c r="C355" s="231" t="s">
        <v>284</v>
      </c>
      <c r="D355" s="212">
        <v>7700</v>
      </c>
      <c r="E355" s="213">
        <v>7700</v>
      </c>
      <c r="F355" s="213">
        <f t="shared" si="40"/>
        <v>0</v>
      </c>
    </row>
    <row r="356" spans="1:6" ht="20.25">
      <c r="A356" s="223" t="s">
        <v>60</v>
      </c>
      <c r="B356" s="232"/>
      <c r="C356" s="246"/>
      <c r="D356" s="507">
        <f>SUM(D349:D355)</f>
        <v>74000</v>
      </c>
      <c r="E356" s="507">
        <f>SUM(E349:E355)</f>
        <v>71100</v>
      </c>
      <c r="F356" s="224">
        <f t="shared" si="40"/>
        <v>2900</v>
      </c>
    </row>
    <row r="357" spans="1:6" ht="20.25">
      <c r="A357" s="225" t="s">
        <v>354</v>
      </c>
      <c r="B357" s="238" t="s">
        <v>628</v>
      </c>
      <c r="C357" s="510" t="s">
        <v>356</v>
      </c>
      <c r="D357" s="221"/>
      <c r="E357" s="222"/>
      <c r="F357" s="222">
        <f t="shared" si="40"/>
        <v>0</v>
      </c>
    </row>
    <row r="358" spans="1:6" ht="20.25">
      <c r="A358" s="488" t="s">
        <v>815</v>
      </c>
      <c r="B358" s="231"/>
      <c r="C358" s="231" t="s">
        <v>284</v>
      </c>
      <c r="D358" s="212">
        <v>9000</v>
      </c>
      <c r="E358" s="213">
        <v>8000</v>
      </c>
      <c r="F358" s="213">
        <f t="shared" si="40"/>
        <v>1000</v>
      </c>
    </row>
    <row r="359" spans="1:6" ht="20.25">
      <c r="A359" s="488" t="s">
        <v>816</v>
      </c>
      <c r="B359" s="231"/>
      <c r="C359" s="231" t="s">
        <v>284</v>
      </c>
      <c r="D359" s="212">
        <v>7900</v>
      </c>
      <c r="E359" s="213">
        <v>6500</v>
      </c>
      <c r="F359" s="213">
        <f t="shared" si="40"/>
        <v>1400</v>
      </c>
    </row>
    <row r="360" spans="1:6" ht="20.25">
      <c r="A360" s="488" t="s">
        <v>817</v>
      </c>
      <c r="B360" s="231"/>
      <c r="C360" s="231" t="s">
        <v>284</v>
      </c>
      <c r="D360" s="212">
        <v>2500</v>
      </c>
      <c r="E360" s="213">
        <v>2400</v>
      </c>
      <c r="F360" s="213">
        <f t="shared" si="40"/>
        <v>100</v>
      </c>
    </row>
    <row r="361" spans="1:6" ht="20.25">
      <c r="A361" s="518" t="s">
        <v>818</v>
      </c>
      <c r="B361" s="237"/>
      <c r="C361" s="231" t="s">
        <v>284</v>
      </c>
      <c r="D361" s="505">
        <v>22100</v>
      </c>
      <c r="E361" s="217">
        <v>20900</v>
      </c>
      <c r="F361" s="217">
        <f t="shared" si="40"/>
        <v>1200</v>
      </c>
    </row>
    <row r="362" spans="1:6" ht="20.25">
      <c r="A362" s="223" t="s">
        <v>60</v>
      </c>
      <c r="B362" s="232"/>
      <c r="C362" s="232"/>
      <c r="D362" s="507">
        <f>SUM(D358:D361)</f>
        <v>41500</v>
      </c>
      <c r="E362" s="507">
        <f>SUM(E358:E361)</f>
        <v>37800</v>
      </c>
      <c r="F362" s="224">
        <f t="shared" si="40"/>
        <v>3700</v>
      </c>
    </row>
    <row r="363" spans="1:6" ht="20.25">
      <c r="A363" s="225" t="s">
        <v>354</v>
      </c>
      <c r="B363" s="238"/>
      <c r="C363" s="238"/>
      <c r="D363" s="221"/>
      <c r="E363" s="221"/>
      <c r="F363" s="222"/>
    </row>
    <row r="364" spans="1:6" ht="20.25">
      <c r="A364" s="522" t="s">
        <v>822</v>
      </c>
      <c r="B364" s="502" t="s">
        <v>625</v>
      </c>
      <c r="C364" s="537" t="s">
        <v>372</v>
      </c>
      <c r="D364" s="209">
        <v>31500</v>
      </c>
      <c r="E364" s="210">
        <v>28000</v>
      </c>
      <c r="F364" s="210">
        <f>D364-E364</f>
        <v>3500</v>
      </c>
    </row>
    <row r="365" spans="1:6" ht="20.25">
      <c r="A365" s="518" t="s">
        <v>809</v>
      </c>
      <c r="B365" s="237" t="s">
        <v>370</v>
      </c>
      <c r="C365" s="563" t="s">
        <v>355</v>
      </c>
      <c r="D365" s="505">
        <v>17500</v>
      </c>
      <c r="E365" s="217">
        <v>16800</v>
      </c>
      <c r="F365" s="217">
        <f>D365-E365</f>
        <v>700</v>
      </c>
    </row>
    <row r="366" spans="1:6" ht="20.25">
      <c r="A366" s="223" t="s">
        <v>60</v>
      </c>
      <c r="B366" s="232"/>
      <c r="C366" s="555"/>
      <c r="D366" s="490">
        <f>SUM(D364:D365)</f>
        <v>49000</v>
      </c>
      <c r="E366" s="224">
        <f>SUM(E364:E365)</f>
        <v>44800</v>
      </c>
      <c r="F366" s="224">
        <f>D366-E366</f>
        <v>4200</v>
      </c>
    </row>
    <row r="367" spans="1:6" ht="20.25">
      <c r="A367" s="225" t="s">
        <v>354</v>
      </c>
      <c r="B367" s="238"/>
      <c r="C367" s="238"/>
      <c r="D367" s="221"/>
      <c r="E367" s="221"/>
      <c r="F367" s="222"/>
    </row>
    <row r="368" spans="1:6" ht="20.25">
      <c r="A368" s="488" t="s">
        <v>823</v>
      </c>
      <c r="B368" s="213" t="s">
        <v>404</v>
      </c>
      <c r="C368" s="495" t="s">
        <v>877</v>
      </c>
      <c r="D368" s="212">
        <v>5900</v>
      </c>
      <c r="E368" s="213">
        <v>4600</v>
      </c>
      <c r="F368" s="213">
        <f aca="true" t="shared" si="41" ref="F368:F378">D368-E368</f>
        <v>1300</v>
      </c>
    </row>
    <row r="369" spans="1:6" ht="20.25">
      <c r="A369" s="488" t="s">
        <v>809</v>
      </c>
      <c r="B369" s="495"/>
      <c r="C369" s="231" t="s">
        <v>284</v>
      </c>
      <c r="D369" s="212">
        <v>2500</v>
      </c>
      <c r="E369" s="213">
        <v>2400</v>
      </c>
      <c r="F369" s="213">
        <f t="shared" si="41"/>
        <v>100</v>
      </c>
    </row>
    <row r="370" spans="1:6" ht="20.25">
      <c r="A370" s="518" t="s">
        <v>824</v>
      </c>
      <c r="B370" s="563"/>
      <c r="C370" s="237" t="s">
        <v>284</v>
      </c>
      <c r="D370" s="505">
        <v>22100</v>
      </c>
      <c r="E370" s="217">
        <v>20900</v>
      </c>
      <c r="F370" s="217">
        <f t="shared" si="41"/>
        <v>1200</v>
      </c>
    </row>
    <row r="371" spans="1:6" ht="20.25">
      <c r="A371" s="223" t="s">
        <v>60</v>
      </c>
      <c r="B371" s="232"/>
      <c r="C371" s="555"/>
      <c r="D371" s="507">
        <f>SUM(D368:D370)</f>
        <v>30500</v>
      </c>
      <c r="E371" s="507">
        <f>SUM(E368:E370)</f>
        <v>27900</v>
      </c>
      <c r="F371" s="224">
        <f t="shared" si="41"/>
        <v>2600</v>
      </c>
    </row>
    <row r="372" spans="1:6" ht="20.25">
      <c r="A372" s="492" t="s">
        <v>868</v>
      </c>
      <c r="B372" s="502"/>
      <c r="C372" s="502"/>
      <c r="D372" s="209"/>
      <c r="E372" s="209"/>
      <c r="F372" s="210"/>
    </row>
    <row r="373" spans="1:6" ht="20.25">
      <c r="A373" s="488" t="s">
        <v>870</v>
      </c>
      <c r="B373" s="231" t="s">
        <v>622</v>
      </c>
      <c r="C373" s="495" t="s">
        <v>869</v>
      </c>
      <c r="D373" s="212">
        <v>7900</v>
      </c>
      <c r="E373" s="213">
        <v>7100</v>
      </c>
      <c r="F373" s="213">
        <f>D373-E373</f>
        <v>800</v>
      </c>
    </row>
    <row r="374" spans="1:6" ht="20.25">
      <c r="A374" s="527" t="s">
        <v>871</v>
      </c>
      <c r="B374" s="497" t="s">
        <v>622</v>
      </c>
      <c r="C374" s="561" t="s">
        <v>869</v>
      </c>
      <c r="D374" s="475">
        <v>7700</v>
      </c>
      <c r="E374" s="215">
        <v>7700</v>
      </c>
      <c r="F374" s="215">
        <f>D374-E374</f>
        <v>0</v>
      </c>
    </row>
    <row r="375" spans="1:6" ht="20.25">
      <c r="A375" s="223" t="s">
        <v>60</v>
      </c>
      <c r="B375" s="232"/>
      <c r="C375" s="555"/>
      <c r="D375" s="490">
        <f>SUM(D373:D374)</f>
        <v>15600</v>
      </c>
      <c r="E375" s="224">
        <f>SUM(E373:E374)</f>
        <v>14800</v>
      </c>
      <c r="F375" s="224">
        <f>D375-E375</f>
        <v>800</v>
      </c>
    </row>
    <row r="376" spans="1:6" ht="20.25">
      <c r="A376" s="225" t="s">
        <v>819</v>
      </c>
      <c r="B376" s="238" t="s">
        <v>306</v>
      </c>
      <c r="C376" s="510" t="s">
        <v>411</v>
      </c>
      <c r="D376" s="221"/>
      <c r="E376" s="222"/>
      <c r="F376" s="222">
        <f t="shared" si="41"/>
        <v>0</v>
      </c>
    </row>
    <row r="377" spans="1:6" ht="20.25">
      <c r="A377" s="518" t="s">
        <v>820</v>
      </c>
      <c r="B377" s="237"/>
      <c r="C377" s="237" t="s">
        <v>284</v>
      </c>
      <c r="D377" s="505">
        <v>40000</v>
      </c>
      <c r="E377" s="217">
        <v>0</v>
      </c>
      <c r="F377" s="217">
        <f t="shared" si="41"/>
        <v>40000</v>
      </c>
    </row>
    <row r="378" spans="1:6" ht="20.25">
      <c r="A378" s="223" t="s">
        <v>60</v>
      </c>
      <c r="B378" s="245"/>
      <c r="C378" s="232"/>
      <c r="D378" s="507">
        <v>40000</v>
      </c>
      <c r="E378" s="224">
        <v>0</v>
      </c>
      <c r="F378" s="224">
        <f t="shared" si="41"/>
        <v>40000</v>
      </c>
    </row>
    <row r="379" spans="1:6" ht="20.25">
      <c r="A379" s="486" t="s">
        <v>826</v>
      </c>
      <c r="B379" s="231"/>
      <c r="C379" s="502"/>
      <c r="D379" s="209"/>
      <c r="E379" s="209"/>
      <c r="F379" s="210"/>
    </row>
    <row r="380" spans="1:6" ht="20.25">
      <c r="A380" s="518" t="s">
        <v>821</v>
      </c>
      <c r="B380" s="237" t="s">
        <v>306</v>
      </c>
      <c r="C380" s="558" t="s">
        <v>411</v>
      </c>
      <c r="D380" s="505">
        <v>30000</v>
      </c>
      <c r="E380" s="505">
        <v>30000</v>
      </c>
      <c r="F380" s="217">
        <f>D380-E380</f>
        <v>0</v>
      </c>
    </row>
    <row r="381" spans="1:6" ht="20.25">
      <c r="A381" s="223" t="s">
        <v>60</v>
      </c>
      <c r="B381" s="232"/>
      <c r="C381" s="564"/>
      <c r="D381" s="507">
        <v>30000</v>
      </c>
      <c r="E381" s="507">
        <v>30000</v>
      </c>
      <c r="F381" s="507"/>
    </row>
    <row r="382" spans="1:6" ht="20.25">
      <c r="A382" s="535" t="s">
        <v>826</v>
      </c>
      <c r="B382" s="238"/>
      <c r="C382" s="238"/>
      <c r="D382" s="221"/>
      <c r="E382" s="221"/>
      <c r="F382" s="222"/>
    </row>
    <row r="383" spans="1:6" ht="20.25">
      <c r="A383" s="488" t="s">
        <v>827</v>
      </c>
      <c r="B383" s="237" t="s">
        <v>622</v>
      </c>
      <c r="C383" s="495" t="s">
        <v>623</v>
      </c>
      <c r="D383" s="212">
        <v>50000</v>
      </c>
      <c r="E383" s="505">
        <v>13900</v>
      </c>
      <c r="F383" s="213">
        <f>D383-E383</f>
        <v>36100</v>
      </c>
    </row>
    <row r="384" spans="1:6" ht="20.25">
      <c r="A384" s="223" t="s">
        <v>60</v>
      </c>
      <c r="B384" s="232"/>
      <c r="C384" s="565"/>
      <c r="D384" s="521">
        <v>50000</v>
      </c>
      <c r="E384" s="507">
        <v>13900</v>
      </c>
      <c r="F384" s="521"/>
    </row>
    <row r="385" spans="1:6" ht="20.25">
      <c r="A385" s="486" t="s">
        <v>621</v>
      </c>
      <c r="B385" s="238"/>
      <c r="C385" s="502"/>
      <c r="D385" s="209"/>
      <c r="E385" s="209"/>
      <c r="F385" s="210"/>
    </row>
    <row r="386" spans="1:6" ht="20.25">
      <c r="A386" s="488" t="s">
        <v>825</v>
      </c>
      <c r="B386" s="231" t="s">
        <v>622</v>
      </c>
      <c r="C386" s="495" t="s">
        <v>623</v>
      </c>
      <c r="D386" s="212">
        <v>81200</v>
      </c>
      <c r="E386" s="212">
        <v>75960</v>
      </c>
      <c r="F386" s="213">
        <f>D386-E386</f>
        <v>5240</v>
      </c>
    </row>
    <row r="387" spans="1:6" ht="20.25">
      <c r="A387" s="223" t="s">
        <v>60</v>
      </c>
      <c r="B387" s="224"/>
      <c r="C387" s="564"/>
      <c r="D387" s="507">
        <f>SUM(D386:D386)</f>
        <v>81200</v>
      </c>
      <c r="E387" s="507">
        <f>SUM(E386:E386)</f>
        <v>75960</v>
      </c>
      <c r="F387" s="507">
        <f>SUM(F386:F386)</f>
        <v>5240</v>
      </c>
    </row>
    <row r="388" spans="1:19" ht="20.25">
      <c r="A388" s="282" t="s">
        <v>357</v>
      </c>
      <c r="B388" s="241"/>
      <c r="C388" s="241"/>
      <c r="D388" s="490">
        <f>D387+D384+D381+D378+D375+D371+D366+D362+D356</f>
        <v>411800</v>
      </c>
      <c r="E388" s="490">
        <f>E387+E384+E381+E378+E375+E371+E366+E362+E356</f>
        <v>316260</v>
      </c>
      <c r="F388" s="490">
        <f>F387+F384+F381+F378+F375+F371+F366+F362+F356</f>
        <v>59440</v>
      </c>
      <c r="G388" s="566"/>
      <c r="H388" s="566"/>
      <c r="I388" s="566"/>
      <c r="J388" s="566"/>
      <c r="K388" s="566"/>
      <c r="L388" s="566"/>
      <c r="M388" s="566"/>
      <c r="N388" s="566"/>
      <c r="O388" s="566"/>
      <c r="P388" s="566"/>
      <c r="Q388" s="566"/>
      <c r="R388" s="566"/>
      <c r="S388" s="566"/>
    </row>
    <row r="389" spans="1:6" ht="20.25">
      <c r="A389" s="567" t="s">
        <v>90</v>
      </c>
      <c r="B389" s="257"/>
      <c r="C389" s="257"/>
      <c r="D389" s="578"/>
      <c r="E389" s="244"/>
      <c r="F389" s="244"/>
    </row>
    <row r="390" spans="1:6" ht="20.25">
      <c r="A390" s="589" t="s">
        <v>850</v>
      </c>
      <c r="B390" s="231" t="s">
        <v>622</v>
      </c>
      <c r="C390" s="558" t="s">
        <v>624</v>
      </c>
      <c r="D390" s="543">
        <v>215000</v>
      </c>
      <c r="E390" s="516">
        <v>0</v>
      </c>
      <c r="F390" s="251">
        <f>D390-E390</f>
        <v>215000</v>
      </c>
    </row>
    <row r="391" spans="1:6" ht="20.25">
      <c r="A391" s="589" t="s">
        <v>851</v>
      </c>
      <c r="B391" s="231"/>
      <c r="C391" s="231" t="s">
        <v>284</v>
      </c>
      <c r="D391" s="543">
        <v>500000</v>
      </c>
      <c r="E391" s="516">
        <v>0</v>
      </c>
      <c r="F391" s="251">
        <f>D391-E391</f>
        <v>500000</v>
      </c>
    </row>
    <row r="392" spans="1:6" ht="20.25">
      <c r="A392" s="589" t="s">
        <v>828</v>
      </c>
      <c r="B392" s="231"/>
      <c r="C392" s="231" t="s">
        <v>284</v>
      </c>
      <c r="D392" s="543">
        <v>100000</v>
      </c>
      <c r="E392" s="516">
        <v>100000</v>
      </c>
      <c r="F392" s="251">
        <f aca="true" t="shared" si="42" ref="F392:F412">D392-E392</f>
        <v>0</v>
      </c>
    </row>
    <row r="393" spans="1:6" ht="20.25">
      <c r="A393" s="589" t="s">
        <v>829</v>
      </c>
      <c r="B393" s="234"/>
      <c r="C393" s="231" t="s">
        <v>284</v>
      </c>
      <c r="D393" s="328">
        <v>100000</v>
      </c>
      <c r="E393" s="243">
        <v>95600</v>
      </c>
      <c r="F393" s="551">
        <f t="shared" si="42"/>
        <v>4400</v>
      </c>
    </row>
    <row r="394" spans="1:6" ht="20.25">
      <c r="A394" s="589" t="s">
        <v>830</v>
      </c>
      <c r="B394" s="568"/>
      <c r="C394" s="231" t="s">
        <v>284</v>
      </c>
      <c r="D394" s="328">
        <f>82000+14000</f>
        <v>96000</v>
      </c>
      <c r="E394" s="243">
        <v>96000</v>
      </c>
      <c r="F394" s="551">
        <f t="shared" si="42"/>
        <v>0</v>
      </c>
    </row>
    <row r="395" spans="1:6" ht="20.25">
      <c r="A395" s="589" t="s">
        <v>831</v>
      </c>
      <c r="B395" s="529"/>
      <c r="C395" s="231" t="s">
        <v>284</v>
      </c>
      <c r="D395" s="328">
        <v>100000</v>
      </c>
      <c r="E395" s="243">
        <v>98700</v>
      </c>
      <c r="F395" s="551">
        <f t="shared" si="42"/>
        <v>1300</v>
      </c>
    </row>
    <row r="396" spans="1:6" ht="20.25">
      <c r="A396" s="589" t="s">
        <v>832</v>
      </c>
      <c r="B396" s="529"/>
      <c r="C396" s="231" t="s">
        <v>284</v>
      </c>
      <c r="D396" s="328">
        <v>100000</v>
      </c>
      <c r="E396" s="243">
        <v>100000</v>
      </c>
      <c r="F396" s="551">
        <f t="shared" si="42"/>
        <v>0</v>
      </c>
    </row>
    <row r="397" spans="1:6" ht="20.25">
      <c r="A397" s="589" t="s">
        <v>833</v>
      </c>
      <c r="B397" s="529"/>
      <c r="C397" s="231" t="s">
        <v>284</v>
      </c>
      <c r="D397" s="328">
        <v>100000</v>
      </c>
      <c r="E397" s="243">
        <v>97800</v>
      </c>
      <c r="F397" s="551">
        <f t="shared" si="42"/>
        <v>2200</v>
      </c>
    </row>
    <row r="398" spans="1:6" ht="20.25">
      <c r="A398" s="589" t="s">
        <v>834</v>
      </c>
      <c r="B398" s="529"/>
      <c r="C398" s="231" t="s">
        <v>284</v>
      </c>
      <c r="D398" s="328">
        <v>100000</v>
      </c>
      <c r="E398" s="243">
        <v>96600</v>
      </c>
      <c r="F398" s="551">
        <f t="shared" si="42"/>
        <v>3400</v>
      </c>
    </row>
    <row r="399" spans="1:6" ht="20.25">
      <c r="A399" s="589" t="s">
        <v>835</v>
      </c>
      <c r="B399" s="529"/>
      <c r="C399" s="231" t="s">
        <v>284</v>
      </c>
      <c r="D399" s="328">
        <v>100000</v>
      </c>
      <c r="E399" s="243">
        <v>100000</v>
      </c>
      <c r="F399" s="551">
        <f t="shared" si="42"/>
        <v>0</v>
      </c>
    </row>
    <row r="400" spans="1:6" ht="20.25">
      <c r="A400" s="589" t="s">
        <v>836</v>
      </c>
      <c r="B400" s="529"/>
      <c r="C400" s="231" t="s">
        <v>284</v>
      </c>
      <c r="D400" s="328">
        <v>90000</v>
      </c>
      <c r="E400" s="243">
        <v>89300</v>
      </c>
      <c r="F400" s="551">
        <f t="shared" si="42"/>
        <v>700</v>
      </c>
    </row>
    <row r="401" spans="1:6" ht="20.25">
      <c r="A401" s="589" t="s">
        <v>837</v>
      </c>
      <c r="B401" s="529"/>
      <c r="C401" s="231" t="s">
        <v>284</v>
      </c>
      <c r="D401" s="328">
        <v>90000</v>
      </c>
      <c r="E401" s="243">
        <v>89500</v>
      </c>
      <c r="F401" s="551">
        <f t="shared" si="42"/>
        <v>500</v>
      </c>
    </row>
    <row r="402" spans="1:6" ht="20.25">
      <c r="A402" s="589" t="s">
        <v>838</v>
      </c>
      <c r="B402" s="529"/>
      <c r="C402" s="231" t="s">
        <v>284</v>
      </c>
      <c r="D402" s="328">
        <v>90000</v>
      </c>
      <c r="E402" s="243">
        <v>89500</v>
      </c>
      <c r="F402" s="551">
        <f t="shared" si="42"/>
        <v>500</v>
      </c>
    </row>
    <row r="403" spans="1:6" ht="20.25">
      <c r="A403" s="589" t="s">
        <v>839</v>
      </c>
      <c r="B403" s="529"/>
      <c r="C403" s="231" t="s">
        <v>284</v>
      </c>
      <c r="D403" s="328">
        <v>100000</v>
      </c>
      <c r="E403" s="243">
        <v>99700</v>
      </c>
      <c r="F403" s="551">
        <f t="shared" si="42"/>
        <v>300</v>
      </c>
    </row>
    <row r="404" spans="1:6" ht="20.25">
      <c r="A404" s="589" t="s">
        <v>840</v>
      </c>
      <c r="B404" s="529"/>
      <c r="C404" s="231" t="s">
        <v>284</v>
      </c>
      <c r="D404" s="328">
        <v>100000</v>
      </c>
      <c r="E404" s="243">
        <v>100000</v>
      </c>
      <c r="F404" s="551">
        <f t="shared" si="42"/>
        <v>0</v>
      </c>
    </row>
    <row r="405" spans="1:6" ht="20.25">
      <c r="A405" s="589" t="s">
        <v>841</v>
      </c>
      <c r="B405" s="529"/>
      <c r="C405" s="231" t="s">
        <v>284</v>
      </c>
      <c r="D405" s="328">
        <v>100000</v>
      </c>
      <c r="E405" s="243">
        <v>100000</v>
      </c>
      <c r="F405" s="551">
        <f>D405-E405</f>
        <v>0</v>
      </c>
    </row>
    <row r="406" spans="1:6" ht="20.25">
      <c r="A406" s="589" t="s">
        <v>842</v>
      </c>
      <c r="B406" s="529"/>
      <c r="C406" s="231" t="s">
        <v>284</v>
      </c>
      <c r="D406" s="328">
        <v>100000</v>
      </c>
      <c r="E406" s="243">
        <v>99000</v>
      </c>
      <c r="F406" s="551">
        <f>D406-E406</f>
        <v>1000</v>
      </c>
    </row>
    <row r="407" spans="1:6" ht="20.25">
      <c r="A407" s="589" t="s">
        <v>843</v>
      </c>
      <c r="B407" s="529"/>
      <c r="C407" s="231" t="s">
        <v>284</v>
      </c>
      <c r="D407" s="328">
        <v>100000</v>
      </c>
      <c r="E407" s="243">
        <v>100000</v>
      </c>
      <c r="F407" s="551">
        <f>D407-E407</f>
        <v>0</v>
      </c>
    </row>
    <row r="408" spans="1:6" ht="20.25">
      <c r="A408" s="589" t="s">
        <v>844</v>
      </c>
      <c r="B408" s="529"/>
      <c r="C408" s="231" t="s">
        <v>284</v>
      </c>
      <c r="D408" s="328">
        <v>550000</v>
      </c>
      <c r="E408" s="243">
        <v>0</v>
      </c>
      <c r="F408" s="551">
        <f>D408-E408</f>
        <v>550000</v>
      </c>
    </row>
    <row r="409" spans="1:6" ht="20.25">
      <c r="A409" s="589" t="s">
        <v>845</v>
      </c>
      <c r="B409" s="529"/>
      <c r="C409" s="231" t="s">
        <v>284</v>
      </c>
      <c r="D409" s="328">
        <v>395000</v>
      </c>
      <c r="E409" s="243">
        <v>394000</v>
      </c>
      <c r="F409" s="551">
        <f t="shared" si="42"/>
        <v>1000</v>
      </c>
    </row>
    <row r="410" spans="1:6" ht="20.25">
      <c r="A410" s="589" t="s">
        <v>846</v>
      </c>
      <c r="B410" s="529"/>
      <c r="C410" s="231" t="s">
        <v>284</v>
      </c>
      <c r="D410" s="328">
        <v>100000</v>
      </c>
      <c r="E410" s="243">
        <v>99000</v>
      </c>
      <c r="F410" s="551">
        <f t="shared" si="42"/>
        <v>1000</v>
      </c>
    </row>
    <row r="411" spans="1:6" ht="20.25">
      <c r="A411" s="589" t="s">
        <v>847</v>
      </c>
      <c r="B411" s="529"/>
      <c r="C411" s="231" t="s">
        <v>284</v>
      </c>
      <c r="D411" s="328">
        <v>100000</v>
      </c>
      <c r="E411" s="243">
        <v>99000</v>
      </c>
      <c r="F411" s="551">
        <f t="shared" si="42"/>
        <v>1000</v>
      </c>
    </row>
    <row r="412" spans="1:6" ht="20.25">
      <c r="A412" s="589" t="s">
        <v>848</v>
      </c>
      <c r="B412" s="529"/>
      <c r="C412" s="231" t="s">
        <v>284</v>
      </c>
      <c r="D412" s="544">
        <v>100000</v>
      </c>
      <c r="E412" s="545">
        <v>99000</v>
      </c>
      <c r="F412" s="254">
        <f t="shared" si="42"/>
        <v>1000</v>
      </c>
    </row>
    <row r="413" spans="1:6" ht="20.25">
      <c r="A413" s="589" t="s">
        <v>849</v>
      </c>
      <c r="B413" s="529"/>
      <c r="C413" s="231" t="s">
        <v>284</v>
      </c>
      <c r="D413" s="544">
        <v>100000</v>
      </c>
      <c r="E413" s="545">
        <v>0</v>
      </c>
      <c r="F413" s="254">
        <f>D413-E413</f>
        <v>100000</v>
      </c>
    </row>
    <row r="414" spans="1:6" ht="20.25">
      <c r="A414" s="589" t="s">
        <v>854</v>
      </c>
      <c r="B414" s="529"/>
      <c r="C414" s="231" t="s">
        <v>284</v>
      </c>
      <c r="D414" s="544">
        <v>294000</v>
      </c>
      <c r="E414" s="545">
        <v>293000</v>
      </c>
      <c r="F414" s="254">
        <f>D414-E414</f>
        <v>1000</v>
      </c>
    </row>
    <row r="415" spans="1:6" ht="20.25">
      <c r="A415" s="589" t="s">
        <v>867</v>
      </c>
      <c r="B415" s="529"/>
      <c r="C415" s="231" t="s">
        <v>284</v>
      </c>
      <c r="D415" s="544">
        <v>400000</v>
      </c>
      <c r="E415" s="545">
        <v>0</v>
      </c>
      <c r="F415" s="254">
        <f>D415-E415</f>
        <v>400000</v>
      </c>
    </row>
    <row r="416" spans="1:6" ht="20.25">
      <c r="A416" s="283" t="s">
        <v>60</v>
      </c>
      <c r="B416" s="245"/>
      <c r="C416" s="232"/>
      <c r="D416" s="514">
        <f>SUM(D390:D415)</f>
        <v>4320000</v>
      </c>
      <c r="E416" s="514">
        <f>SUM(E390:E414)</f>
        <v>2535700</v>
      </c>
      <c r="F416" s="569">
        <f>SUM(F390:F414)</f>
        <v>1384300</v>
      </c>
    </row>
    <row r="417" spans="1:6" ht="20.25">
      <c r="A417" s="486" t="s">
        <v>90</v>
      </c>
      <c r="B417" s="502" t="s">
        <v>853</v>
      </c>
      <c r="C417" s="537" t="s">
        <v>398</v>
      </c>
      <c r="D417" s="284"/>
      <c r="E417" s="284"/>
      <c r="F417" s="285"/>
    </row>
    <row r="418" spans="1:6" ht="20.25">
      <c r="A418" s="590" t="s">
        <v>855</v>
      </c>
      <c r="B418" s="530"/>
      <c r="C418" s="237"/>
      <c r="D418" s="544">
        <v>500000</v>
      </c>
      <c r="E418" s="544">
        <v>0</v>
      </c>
      <c r="F418" s="248">
        <f>D418-E418</f>
        <v>500000</v>
      </c>
    </row>
    <row r="419" spans="1:6" ht="20.25">
      <c r="A419" s="282" t="s">
        <v>60</v>
      </c>
      <c r="B419" s="245"/>
      <c r="C419" s="232"/>
      <c r="D419" s="514">
        <f>+D418</f>
        <v>500000</v>
      </c>
      <c r="E419" s="514">
        <f>+E418</f>
        <v>0</v>
      </c>
      <c r="F419" s="569">
        <f>D419-E419</f>
        <v>500000</v>
      </c>
    </row>
    <row r="420" spans="1:19" ht="20.25">
      <c r="A420" s="223" t="s">
        <v>852</v>
      </c>
      <c r="B420" s="232"/>
      <c r="C420" s="241"/>
      <c r="D420" s="540">
        <f>D416+D419</f>
        <v>4820000</v>
      </c>
      <c r="E420" s="540">
        <f>E416</f>
        <v>2535700</v>
      </c>
      <c r="F420" s="540">
        <f>F416</f>
        <v>1384300</v>
      </c>
      <c r="G420" s="250">
        <f aca="true" t="shared" si="43" ref="G420:S420">SUM(G392:G412)</f>
        <v>0</v>
      </c>
      <c r="H420" s="250">
        <f t="shared" si="43"/>
        <v>0</v>
      </c>
      <c r="I420" s="250">
        <f t="shared" si="43"/>
        <v>0</v>
      </c>
      <c r="J420" s="250">
        <f t="shared" si="43"/>
        <v>0</v>
      </c>
      <c r="K420" s="250">
        <f t="shared" si="43"/>
        <v>0</v>
      </c>
      <c r="L420" s="250">
        <f t="shared" si="43"/>
        <v>0</v>
      </c>
      <c r="M420" s="250">
        <f t="shared" si="43"/>
        <v>0</v>
      </c>
      <c r="N420" s="250">
        <f t="shared" si="43"/>
        <v>0</v>
      </c>
      <c r="O420" s="250">
        <f t="shared" si="43"/>
        <v>0</v>
      </c>
      <c r="P420" s="250">
        <f t="shared" si="43"/>
        <v>0</v>
      </c>
      <c r="Q420" s="250">
        <f t="shared" si="43"/>
        <v>0</v>
      </c>
      <c r="R420" s="250">
        <f t="shared" si="43"/>
        <v>0</v>
      </c>
      <c r="S420" s="250">
        <f t="shared" si="43"/>
        <v>0</v>
      </c>
    </row>
    <row r="421" spans="1:19" ht="20.25">
      <c r="A421" s="223" t="s">
        <v>247</v>
      </c>
      <c r="B421" s="245"/>
      <c r="C421" s="570"/>
      <c r="D421" s="540">
        <f>D346+D388+D420</f>
        <v>46535000</v>
      </c>
      <c r="E421" s="540">
        <f>E420+E388+E346</f>
        <v>36049015.769999996</v>
      </c>
      <c r="F421" s="550">
        <f>D421-E421</f>
        <v>10485984.230000004</v>
      </c>
      <c r="G421" s="250">
        <f aca="true" t="shared" si="44" ref="G421:S421">G388+G420+G346</f>
        <v>0</v>
      </c>
      <c r="H421" s="250">
        <f t="shared" si="44"/>
        <v>0</v>
      </c>
      <c r="I421" s="250">
        <f t="shared" si="44"/>
        <v>0</v>
      </c>
      <c r="J421" s="250">
        <f t="shared" si="44"/>
        <v>0</v>
      </c>
      <c r="K421" s="250">
        <f t="shared" si="44"/>
        <v>0</v>
      </c>
      <c r="L421" s="250">
        <f t="shared" si="44"/>
        <v>0</v>
      </c>
      <c r="M421" s="250">
        <f t="shared" si="44"/>
        <v>0</v>
      </c>
      <c r="N421" s="250">
        <f t="shared" si="44"/>
        <v>0</v>
      </c>
      <c r="O421" s="250">
        <f t="shared" si="44"/>
        <v>0</v>
      </c>
      <c r="P421" s="250">
        <f t="shared" si="44"/>
        <v>0</v>
      </c>
      <c r="Q421" s="250">
        <f t="shared" si="44"/>
        <v>0</v>
      </c>
      <c r="R421" s="250">
        <f t="shared" si="44"/>
        <v>0</v>
      </c>
      <c r="S421" s="250">
        <f t="shared" si="44"/>
        <v>0</v>
      </c>
    </row>
    <row r="422" spans="1:6" ht="20.25">
      <c r="A422" s="258"/>
      <c r="B422" s="259"/>
      <c r="C422" s="260"/>
      <c r="D422" s="261"/>
      <c r="E422" s="262"/>
      <c r="F422" s="262"/>
    </row>
    <row r="423" spans="1:6" ht="20.25">
      <c r="A423" s="258"/>
      <c r="B423" s="259"/>
      <c r="C423" s="260"/>
      <c r="D423" s="261"/>
      <c r="E423" s="262"/>
      <c r="F423" s="262"/>
    </row>
    <row r="424" spans="1:6" ht="20.25">
      <c r="A424" s="258"/>
      <c r="B424" s="259"/>
      <c r="C424" s="260"/>
      <c r="D424" s="261"/>
      <c r="E424" s="262"/>
      <c r="F424" s="262"/>
    </row>
    <row r="425" spans="1:6" ht="20.25">
      <c r="A425" s="258"/>
      <c r="B425" s="259"/>
      <c r="C425" s="260"/>
      <c r="D425" s="261"/>
      <c r="E425" s="262"/>
      <c r="F425" s="262"/>
    </row>
    <row r="426" spans="1:6" ht="20.25">
      <c r="A426" s="258"/>
      <c r="B426" s="259"/>
      <c r="C426" s="260"/>
      <c r="D426" s="261"/>
      <c r="E426" s="262"/>
      <c r="F426" s="262"/>
    </row>
    <row r="427" spans="1:6" ht="20.25">
      <c r="A427" s="258"/>
      <c r="B427" s="259"/>
      <c r="C427" s="260"/>
      <c r="D427" s="261"/>
      <c r="E427" s="262"/>
      <c r="F427" s="262"/>
    </row>
    <row r="428" spans="1:6" ht="20.25">
      <c r="A428" s="258"/>
      <c r="B428" s="259"/>
      <c r="C428" s="260"/>
      <c r="D428" s="261"/>
      <c r="E428" s="262"/>
      <c r="F428" s="262"/>
    </row>
    <row r="429" spans="1:6" ht="20.25">
      <c r="A429" s="258"/>
      <c r="B429" s="259"/>
      <c r="C429" s="260"/>
      <c r="D429" s="261"/>
      <c r="E429" s="262"/>
      <c r="F429" s="262"/>
    </row>
    <row r="430" spans="1:6" ht="20.25">
      <c r="A430" s="258"/>
      <c r="B430" s="259"/>
      <c r="C430" s="260"/>
      <c r="D430" s="261"/>
      <c r="E430" s="262"/>
      <c r="F430" s="262"/>
    </row>
    <row r="431" spans="1:6" ht="20.25">
      <c r="A431" s="258"/>
      <c r="B431" s="259"/>
      <c r="C431" s="260"/>
      <c r="D431" s="261"/>
      <c r="E431" s="262"/>
      <c r="F431" s="262"/>
    </row>
    <row r="432" spans="1:6" ht="20.25">
      <c r="A432" s="258"/>
      <c r="B432" s="259"/>
      <c r="C432" s="260"/>
      <c r="D432" s="261"/>
      <c r="E432" s="262"/>
      <c r="F432" s="262"/>
    </row>
    <row r="433" spans="1:6" ht="20.25">
      <c r="A433" s="258"/>
      <c r="B433" s="259"/>
      <c r="C433" s="260"/>
      <c r="D433" s="261"/>
      <c r="E433" s="262"/>
      <c r="F433" s="262"/>
    </row>
    <row r="434" spans="1:6" ht="20.25">
      <c r="A434" s="258"/>
      <c r="B434" s="259"/>
      <c r="C434" s="260"/>
      <c r="D434" s="261"/>
      <c r="E434" s="262"/>
      <c r="F434" s="262"/>
    </row>
    <row r="435" spans="1:6" ht="20.25">
      <c r="A435" s="258"/>
      <c r="B435" s="259"/>
      <c r="C435" s="260"/>
      <c r="D435" s="261"/>
      <c r="E435" s="262"/>
      <c r="F435" s="262"/>
    </row>
    <row r="436" spans="1:6" ht="20.25">
      <c r="A436" s="258"/>
      <c r="B436" s="259"/>
      <c r="C436" s="260"/>
      <c r="D436" s="261"/>
      <c r="E436" s="262"/>
      <c r="F436" s="262"/>
    </row>
    <row r="437" spans="1:6" ht="20.25">
      <c r="A437" s="258"/>
      <c r="B437" s="259"/>
      <c r="C437" s="260"/>
      <c r="D437" s="261"/>
      <c r="E437" s="262"/>
      <c r="F437" s="262"/>
    </row>
    <row r="438" spans="1:6" ht="20.25">
      <c r="A438" s="258"/>
      <c r="B438" s="259"/>
      <c r="C438" s="260"/>
      <c r="D438" s="261"/>
      <c r="E438" s="262"/>
      <c r="F438" s="262"/>
    </row>
    <row r="439" spans="1:6" ht="20.25">
      <c r="A439" s="258"/>
      <c r="B439" s="259"/>
      <c r="C439" s="260"/>
      <c r="D439" s="261"/>
      <c r="E439" s="262"/>
      <c r="F439" s="262"/>
    </row>
    <row r="440" spans="1:6" ht="20.25">
      <c r="A440" s="258"/>
      <c r="B440" s="259"/>
      <c r="C440" s="260"/>
      <c r="D440" s="261"/>
      <c r="E440" s="262"/>
      <c r="F440" s="262"/>
    </row>
    <row r="441" spans="1:6" ht="20.25">
      <c r="A441" s="258"/>
      <c r="B441" s="259"/>
      <c r="C441" s="260"/>
      <c r="D441" s="261"/>
      <c r="E441" s="262"/>
      <c r="F441" s="262"/>
    </row>
    <row r="442" spans="1:6" ht="20.25">
      <c r="A442" s="258"/>
      <c r="B442" s="259"/>
      <c r="C442" s="260"/>
      <c r="D442" s="261"/>
      <c r="E442" s="262"/>
      <c r="F442" s="262"/>
    </row>
    <row r="443" spans="1:6" ht="20.25">
      <c r="A443" s="258"/>
      <c r="B443" s="259"/>
      <c r="C443" s="260"/>
      <c r="D443" s="261"/>
      <c r="E443" s="262"/>
      <c r="F443" s="262"/>
    </row>
    <row r="444" spans="1:6" ht="20.25">
      <c r="A444" s="258"/>
      <c r="B444" s="259"/>
      <c r="C444" s="260"/>
      <c r="D444" s="261"/>
      <c r="E444" s="262"/>
      <c r="F444" s="262"/>
    </row>
    <row r="445" spans="1:6" ht="20.25">
      <c r="A445" s="258"/>
      <c r="B445" s="259"/>
      <c r="C445" s="260"/>
      <c r="D445" s="261"/>
      <c r="E445" s="262"/>
      <c r="F445" s="262"/>
    </row>
    <row r="446" spans="1:6" ht="20.25">
      <c r="A446" s="258"/>
      <c r="B446" s="259"/>
      <c r="C446" s="260"/>
      <c r="D446" s="261"/>
      <c r="E446" s="262"/>
      <c r="F446" s="262"/>
    </row>
    <row r="447" spans="1:6" ht="20.25">
      <c r="A447" s="258"/>
      <c r="B447" s="259"/>
      <c r="C447" s="260"/>
      <c r="D447" s="261"/>
      <c r="E447" s="262"/>
      <c r="F447" s="262"/>
    </row>
    <row r="448" spans="1:6" ht="20.25">
      <c r="A448" s="258"/>
      <c r="B448" s="259"/>
      <c r="C448" s="260"/>
      <c r="D448" s="261"/>
      <c r="E448" s="262"/>
      <c r="F448" s="262"/>
    </row>
    <row r="449" spans="1:6" ht="20.25">
      <c r="A449" s="258"/>
      <c r="B449" s="259"/>
      <c r="C449" s="260"/>
      <c r="D449" s="261"/>
      <c r="E449" s="262"/>
      <c r="F449" s="262"/>
    </row>
    <row r="450" spans="1:6" ht="20.25">
      <c r="A450" s="258"/>
      <c r="B450" s="259"/>
      <c r="C450" s="260"/>
      <c r="D450" s="261"/>
      <c r="E450" s="262"/>
      <c r="F450" s="262"/>
    </row>
    <row r="451" spans="1:6" ht="20.25">
      <c r="A451" s="258"/>
      <c r="B451" s="259"/>
      <c r="C451" s="260"/>
      <c r="D451" s="261"/>
      <c r="E451" s="262"/>
      <c r="F451" s="262"/>
    </row>
    <row r="452" spans="1:6" ht="20.25">
      <c r="A452" s="258"/>
      <c r="B452" s="259"/>
      <c r="C452" s="260"/>
      <c r="D452" s="261"/>
      <c r="E452" s="262"/>
      <c r="F452" s="262"/>
    </row>
    <row r="453" spans="1:6" ht="20.25">
      <c r="A453" s="258"/>
      <c r="B453" s="259"/>
      <c r="C453" s="260"/>
      <c r="D453" s="261"/>
      <c r="E453" s="262"/>
      <c r="F453" s="262"/>
    </row>
    <row r="454" spans="1:6" ht="20.25">
      <c r="A454" s="258"/>
      <c r="B454" s="259"/>
      <c r="C454" s="260"/>
      <c r="D454" s="261"/>
      <c r="E454" s="262"/>
      <c r="F454" s="262"/>
    </row>
    <row r="455" spans="1:6" ht="20.25">
      <c r="A455" s="258"/>
      <c r="B455" s="259"/>
      <c r="C455" s="260"/>
      <c r="D455" s="261"/>
      <c r="E455" s="262"/>
      <c r="F455" s="262"/>
    </row>
    <row r="456" spans="1:29" s="250" customFormat="1" ht="20.25">
      <c r="A456" s="259"/>
      <c r="B456" s="259"/>
      <c r="C456" s="263"/>
      <c r="D456" s="261"/>
      <c r="E456" s="259"/>
      <c r="F456" s="262"/>
      <c r="T456" s="572"/>
      <c r="U456" s="572"/>
      <c r="V456" s="572"/>
      <c r="W456" s="572"/>
      <c r="X456" s="572"/>
      <c r="Y456" s="572"/>
      <c r="Z456" s="572"/>
      <c r="AA456" s="572"/>
      <c r="AB456" s="572"/>
      <c r="AC456" s="572"/>
    </row>
    <row r="457" spans="1:29" s="250" customFormat="1" ht="20.25">
      <c r="A457" s="259"/>
      <c r="B457" s="259"/>
      <c r="C457" s="263"/>
      <c r="D457" s="261"/>
      <c r="E457" s="259"/>
      <c r="F457" s="262"/>
      <c r="T457" s="572"/>
      <c r="U457" s="572"/>
      <c r="V457" s="572"/>
      <c r="W457" s="572"/>
      <c r="X457" s="572"/>
      <c r="Y457" s="572"/>
      <c r="Z457" s="572"/>
      <c r="AA457" s="572"/>
      <c r="AB457" s="572"/>
      <c r="AC457" s="572"/>
    </row>
    <row r="458" spans="1:29" s="250" customFormat="1" ht="20.25">
      <c r="A458" s="724" t="s">
        <v>360</v>
      </c>
      <c r="B458" s="725"/>
      <c r="C458" s="725"/>
      <c r="D458" s="725"/>
      <c r="E458" s="725"/>
      <c r="F458" s="725"/>
      <c r="T458" s="572"/>
      <c r="U458" s="572"/>
      <c r="V458" s="572"/>
      <c r="W458" s="572"/>
      <c r="X458" s="572"/>
      <c r="Y458" s="572"/>
      <c r="Z458" s="572"/>
      <c r="AA458" s="572"/>
      <c r="AB458" s="572"/>
      <c r="AC458" s="572"/>
    </row>
    <row r="459" spans="1:29" s="250" customFormat="1" ht="20.25">
      <c r="A459" s="724" t="s">
        <v>433</v>
      </c>
      <c r="B459" s="725"/>
      <c r="C459" s="725"/>
      <c r="D459" s="725"/>
      <c r="E459" s="725"/>
      <c r="F459" s="725"/>
      <c r="T459" s="572"/>
      <c r="U459" s="572"/>
      <c r="V459" s="572"/>
      <c r="W459" s="572"/>
      <c r="X459" s="572"/>
      <c r="Y459" s="572"/>
      <c r="Z459" s="572"/>
      <c r="AA459" s="572"/>
      <c r="AB459" s="572"/>
      <c r="AC459" s="572"/>
    </row>
    <row r="460" spans="1:29" s="250" customFormat="1" ht="16.5" customHeight="1">
      <c r="A460" s="726" t="s">
        <v>563</v>
      </c>
      <c r="B460" s="727"/>
      <c r="C460" s="727"/>
      <c r="D460" s="727"/>
      <c r="E460" s="727"/>
      <c r="F460" s="727"/>
      <c r="T460" s="572"/>
      <c r="U460" s="572"/>
      <c r="V460" s="572"/>
      <c r="W460" s="572"/>
      <c r="X460" s="572"/>
      <c r="Y460" s="572"/>
      <c r="Z460" s="572"/>
      <c r="AA460" s="572"/>
      <c r="AB460" s="572"/>
      <c r="AC460" s="572"/>
    </row>
    <row r="461" spans="1:29" s="250" customFormat="1" ht="20.25">
      <c r="A461" s="482" t="s">
        <v>64</v>
      </c>
      <c r="B461" s="482" t="s">
        <v>290</v>
      </c>
      <c r="C461" s="482" t="s">
        <v>76</v>
      </c>
      <c r="D461" s="483" t="s">
        <v>106</v>
      </c>
      <c r="E461" s="482" t="s">
        <v>201</v>
      </c>
      <c r="F461" s="482" t="s">
        <v>291</v>
      </c>
      <c r="T461" s="572"/>
      <c r="U461" s="572"/>
      <c r="V461" s="572"/>
      <c r="W461" s="572"/>
      <c r="X461" s="572"/>
      <c r="Y461" s="572"/>
      <c r="Z461" s="572"/>
      <c r="AA461" s="572"/>
      <c r="AB461" s="572"/>
      <c r="AC461" s="572"/>
    </row>
    <row r="462" spans="1:29" s="250" customFormat="1" ht="20.25">
      <c r="A462" s="484"/>
      <c r="B462" s="484"/>
      <c r="C462" s="484"/>
      <c r="D462" s="485"/>
      <c r="E462" s="484" t="s">
        <v>304</v>
      </c>
      <c r="F462" s="484"/>
      <c r="T462" s="572"/>
      <c r="U462" s="572"/>
      <c r="V462" s="572"/>
      <c r="W462" s="572"/>
      <c r="X462" s="572"/>
      <c r="Y462" s="572"/>
      <c r="Z462" s="572"/>
      <c r="AA462" s="572"/>
      <c r="AB462" s="572"/>
      <c r="AC462" s="572"/>
    </row>
    <row r="463" spans="1:29" s="250" customFormat="1" ht="19.5" customHeight="1">
      <c r="A463" s="486" t="s">
        <v>26</v>
      </c>
      <c r="B463" s="210"/>
      <c r="C463" s="591"/>
      <c r="D463" s="209"/>
      <c r="E463" s="210"/>
      <c r="F463" s="210"/>
      <c r="T463" s="572"/>
      <c r="U463" s="572"/>
      <c r="V463" s="572"/>
      <c r="W463" s="572"/>
      <c r="X463" s="572"/>
      <c r="Y463" s="572"/>
      <c r="Z463" s="572"/>
      <c r="AA463" s="572"/>
      <c r="AB463" s="572"/>
      <c r="AC463" s="572"/>
    </row>
    <row r="464" spans="1:29" s="250" customFormat="1" ht="20.25">
      <c r="A464" s="571" t="s">
        <v>632</v>
      </c>
      <c r="B464" s="213"/>
      <c r="C464" s="573"/>
      <c r="D464" s="212"/>
      <c r="E464" s="213"/>
      <c r="F464" s="213"/>
      <c r="T464" s="572"/>
      <c r="U464" s="572"/>
      <c r="V464" s="572"/>
      <c r="W464" s="572"/>
      <c r="X464" s="572"/>
      <c r="Y464" s="572"/>
      <c r="Z464" s="572"/>
      <c r="AA464" s="572"/>
      <c r="AB464" s="572"/>
      <c r="AC464" s="572"/>
    </row>
    <row r="465" spans="1:29" s="250" customFormat="1" ht="20.25">
      <c r="A465" s="488" t="s">
        <v>630</v>
      </c>
      <c r="B465" s="213" t="s">
        <v>620</v>
      </c>
      <c r="C465" s="213" t="s">
        <v>434</v>
      </c>
      <c r="D465" s="212">
        <v>0</v>
      </c>
      <c r="E465" s="213">
        <v>42350</v>
      </c>
      <c r="F465" s="213">
        <f>D465-E465</f>
        <v>-42350</v>
      </c>
      <c r="T465" s="572"/>
      <c r="U465" s="572"/>
      <c r="V465" s="572"/>
      <c r="W465" s="572"/>
      <c r="X465" s="572"/>
      <c r="Y465" s="572"/>
      <c r="Z465" s="572"/>
      <c r="AA465" s="572"/>
      <c r="AB465" s="572"/>
      <c r="AC465" s="572"/>
    </row>
    <row r="466" spans="1:29" s="250" customFormat="1" ht="20.25">
      <c r="A466" s="488" t="s">
        <v>631</v>
      </c>
      <c r="B466" s="213" t="s">
        <v>387</v>
      </c>
      <c r="C466" s="573" t="s">
        <v>308</v>
      </c>
      <c r="D466" s="212">
        <v>0</v>
      </c>
      <c r="E466" s="213">
        <v>22480</v>
      </c>
      <c r="F466" s="213">
        <f>D466-E466</f>
        <v>-22480</v>
      </c>
      <c r="T466" s="572"/>
      <c r="U466" s="572"/>
      <c r="V466" s="572"/>
      <c r="W466" s="572"/>
      <c r="X466" s="572"/>
      <c r="Y466" s="572"/>
      <c r="Z466" s="572"/>
      <c r="AA466" s="572"/>
      <c r="AB466" s="572"/>
      <c r="AC466" s="572"/>
    </row>
    <row r="467" spans="1:29" s="250" customFormat="1" ht="20.25">
      <c r="A467" s="488" t="s">
        <v>633</v>
      </c>
      <c r="B467" s="213"/>
      <c r="C467" s="573"/>
      <c r="D467" s="212">
        <v>0</v>
      </c>
      <c r="E467" s="213">
        <v>30000</v>
      </c>
      <c r="F467" s="213">
        <f>D467-E467</f>
        <v>-30000</v>
      </c>
      <c r="T467" s="572"/>
      <c r="U467" s="572"/>
      <c r="V467" s="572"/>
      <c r="W467" s="572"/>
      <c r="X467" s="572"/>
      <c r="Y467" s="572"/>
      <c r="Z467" s="572"/>
      <c r="AA467" s="572"/>
      <c r="AB467" s="572"/>
      <c r="AC467" s="572"/>
    </row>
    <row r="468" spans="1:29" s="250" customFormat="1" ht="20.25">
      <c r="A468" s="518"/>
      <c r="B468" s="217"/>
      <c r="C468" s="592"/>
      <c r="D468" s="505"/>
      <c r="E468" s="217"/>
      <c r="F468" s="217"/>
      <c r="T468" s="572"/>
      <c r="U468" s="572"/>
      <c r="V468" s="572"/>
      <c r="W468" s="572"/>
      <c r="X468" s="572"/>
      <c r="Y468" s="572"/>
      <c r="Z468" s="572"/>
      <c r="AA468" s="572"/>
      <c r="AB468" s="572"/>
      <c r="AC468" s="572"/>
    </row>
    <row r="469" spans="1:29" s="250" customFormat="1" ht="20.25">
      <c r="A469" s="506" t="s">
        <v>60</v>
      </c>
      <c r="B469" s="224"/>
      <c r="C469" s="593"/>
      <c r="D469" s="490">
        <f>SUM(D465:D466)</f>
        <v>0</v>
      </c>
      <c r="E469" s="490">
        <f>SUM(E465:E466)</f>
        <v>64830</v>
      </c>
      <c r="F469" s="491">
        <f>D469-E469</f>
        <v>-64830</v>
      </c>
      <c r="T469" s="572"/>
      <c r="U469" s="572"/>
      <c r="V469" s="572"/>
      <c r="W469" s="572"/>
      <c r="X469" s="572"/>
      <c r="Y469" s="572"/>
      <c r="Z469" s="572"/>
      <c r="AA469" s="572"/>
      <c r="AB469" s="572"/>
      <c r="AC469" s="572"/>
    </row>
  </sheetData>
  <sheetProtection/>
  <mergeCells count="6">
    <mergeCell ref="A1:F1"/>
    <mergeCell ref="A2:F2"/>
    <mergeCell ref="A3:F3"/>
    <mergeCell ref="A458:F458"/>
    <mergeCell ref="A459:F459"/>
    <mergeCell ref="A460:F460"/>
  </mergeCells>
  <printOptions horizontalCentered="1"/>
  <pageMargins left="0.2" right="0" top="0.36" bottom="0.14" header="0.12" footer="0.1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31"/>
  <sheetViews>
    <sheetView zoomScale="130" zoomScaleNormal="13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22" sqref="R22"/>
    </sheetView>
  </sheetViews>
  <sheetFormatPr defaultColWidth="9.140625" defaultRowHeight="15"/>
  <cols>
    <col min="1" max="1" width="6.140625" style="101" customWidth="1"/>
    <col min="2" max="2" width="12.00390625" style="102" customWidth="1"/>
    <col min="3" max="3" width="13.421875" style="102" customWidth="1"/>
    <col min="4" max="4" width="9.28125" style="102" customWidth="1"/>
    <col min="5" max="5" width="9.140625" style="102" customWidth="1"/>
    <col min="6" max="6" width="8.140625" style="102" customWidth="1"/>
    <col min="7" max="7" width="7.421875" style="102" customWidth="1"/>
    <col min="8" max="8" width="8.421875" style="102" customWidth="1"/>
    <col min="9" max="9" width="8.57421875" style="102" customWidth="1"/>
    <col min="10" max="10" width="8.7109375" style="102" customWidth="1"/>
    <col min="11" max="11" width="8.00390625" style="102" customWidth="1"/>
    <col min="12" max="12" width="8.421875" style="102" customWidth="1"/>
    <col min="13" max="13" width="8.28125" style="102" customWidth="1"/>
    <col min="14" max="15" width="9.421875" style="102" customWidth="1"/>
    <col min="16" max="16" width="12.140625" style="102" bestFit="1" customWidth="1"/>
    <col min="17" max="17" width="9.00390625" style="102" customWidth="1"/>
    <col min="18" max="18" width="11.8515625" style="102" bestFit="1" customWidth="1"/>
    <col min="19" max="16384" width="9.00390625" style="102" customWidth="1"/>
  </cols>
  <sheetData>
    <row r="1" spans="2:15" ht="14.25" customHeight="1">
      <c r="B1" s="706" t="s">
        <v>479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</row>
    <row r="2" spans="2:15" ht="14.25" customHeight="1">
      <c r="B2" s="706" t="s">
        <v>105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</row>
    <row r="3" spans="2:15" ht="14.25" customHeight="1">
      <c r="B3" s="706" t="s">
        <v>1111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</row>
    <row r="4" spans="1:15" ht="21" customHeight="1">
      <c r="A4" s="732" t="s">
        <v>134</v>
      </c>
      <c r="B4" s="708" t="s">
        <v>77</v>
      </c>
      <c r="C4" s="708" t="s">
        <v>74</v>
      </c>
      <c r="D4" s="708" t="s">
        <v>81</v>
      </c>
      <c r="E4" s="708" t="s">
        <v>88</v>
      </c>
      <c r="F4" s="708" t="s">
        <v>84</v>
      </c>
      <c r="G4" s="708" t="s">
        <v>107</v>
      </c>
      <c r="H4" s="708" t="s">
        <v>108</v>
      </c>
      <c r="I4" s="708" t="s">
        <v>83</v>
      </c>
      <c r="J4" s="708" t="s">
        <v>484</v>
      </c>
      <c r="K4" s="728" t="s">
        <v>109</v>
      </c>
      <c r="L4" s="730" t="s">
        <v>110</v>
      </c>
      <c r="M4" s="708" t="s">
        <v>111</v>
      </c>
      <c r="N4" s="708" t="s">
        <v>113</v>
      </c>
      <c r="O4" s="708" t="s">
        <v>60</v>
      </c>
    </row>
    <row r="5" spans="1:15" ht="22.5" customHeight="1">
      <c r="A5" s="733"/>
      <c r="B5" s="709"/>
      <c r="C5" s="709"/>
      <c r="D5" s="709"/>
      <c r="E5" s="709"/>
      <c r="F5" s="709"/>
      <c r="G5" s="709"/>
      <c r="H5" s="709"/>
      <c r="I5" s="709"/>
      <c r="J5" s="709"/>
      <c r="K5" s="729"/>
      <c r="L5" s="731"/>
      <c r="M5" s="709"/>
      <c r="N5" s="709"/>
      <c r="O5" s="709"/>
    </row>
    <row r="6" spans="1:19" ht="14.25" customHeight="1">
      <c r="A6" s="103" t="s">
        <v>114</v>
      </c>
      <c r="B6" s="103"/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105"/>
      <c r="P6" s="106"/>
      <c r="Q6" s="106"/>
      <c r="R6" s="107"/>
      <c r="S6" s="107"/>
    </row>
    <row r="7" spans="1:19" ht="14.25" customHeight="1">
      <c r="A7" s="108" t="s">
        <v>113</v>
      </c>
      <c r="B7" s="104" t="s">
        <v>131</v>
      </c>
      <c r="C7" s="104" t="s">
        <v>1112</v>
      </c>
      <c r="D7" s="109"/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/>
      <c r="K7" s="109">
        <v>0</v>
      </c>
      <c r="L7" s="109">
        <v>0</v>
      </c>
      <c r="M7" s="109">
        <v>0</v>
      </c>
      <c r="N7" s="109">
        <f>'[2]สรุปรายจ่ายตามงบประมาณ '!E15</f>
        <v>14401489</v>
      </c>
      <c r="O7" s="110">
        <f aca="true" t="shared" si="0" ref="O7:O17">SUM(D7:N7)</f>
        <v>14401489</v>
      </c>
      <c r="P7" s="111"/>
      <c r="Q7" s="111"/>
      <c r="R7" s="111"/>
      <c r="S7" s="111"/>
    </row>
    <row r="8" spans="1:19" ht="14.25" customHeight="1">
      <c r="A8" s="108" t="s">
        <v>135</v>
      </c>
      <c r="B8" s="104" t="s">
        <v>115</v>
      </c>
      <c r="C8" s="104" t="s">
        <v>1112</v>
      </c>
      <c r="D8" s="109">
        <f>'[2]สรุปรายจ่ายตามงบประมาณ '!E23</f>
        <v>2868085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/>
      <c r="K8" s="109">
        <v>0</v>
      </c>
      <c r="L8" s="109">
        <v>0</v>
      </c>
      <c r="M8" s="109">
        <v>0</v>
      </c>
      <c r="N8" s="110">
        <v>0</v>
      </c>
      <c r="O8" s="110">
        <f t="shared" si="0"/>
        <v>2868085</v>
      </c>
      <c r="P8" s="111"/>
      <c r="Q8" s="111"/>
      <c r="R8" s="111"/>
      <c r="S8" s="111"/>
    </row>
    <row r="9" spans="1:19" ht="14.25" customHeight="1">
      <c r="A9" s="108"/>
      <c r="B9" s="104" t="s">
        <v>127</v>
      </c>
      <c r="C9" s="104" t="s">
        <v>1112</v>
      </c>
      <c r="D9" s="109">
        <f>'[2]สรุปรายจ่ายตามงบประมาณ '!E32+'[2]สรุปรายจ่ายตามงบประมาณ '!E40</f>
        <v>4663117</v>
      </c>
      <c r="E9" s="109">
        <f>'[2]สรุปรายจ่ายตามงบประมาณ '!E54+'[2]สรุปรายจ่ายตามงบประมาณ '!E61</f>
        <v>2164999</v>
      </c>
      <c r="F9" s="109">
        <f>'[2]สรุปรายจ่ายตามงบประมาณ '!E67</f>
        <v>241440</v>
      </c>
      <c r="G9" s="109">
        <v>0</v>
      </c>
      <c r="H9" s="109">
        <f>'[2]สรุปรายจ่ายตามงบประมาณ '!E74</f>
        <v>935100</v>
      </c>
      <c r="I9" s="109">
        <f>'[2]สรุปรายจ่ายตามงบประมาณ '!E48</f>
        <v>834964</v>
      </c>
      <c r="J9" s="109"/>
      <c r="K9" s="109">
        <v>0</v>
      </c>
      <c r="L9" s="109">
        <v>0</v>
      </c>
      <c r="M9" s="109">
        <f>'[2]สรุปรายจ่ายตามงบประมาณ '!E81</f>
        <v>140434</v>
      </c>
      <c r="N9" s="110">
        <v>0</v>
      </c>
      <c r="O9" s="110">
        <f t="shared" si="0"/>
        <v>8980054</v>
      </c>
      <c r="P9" s="111"/>
      <c r="Q9" s="111"/>
      <c r="R9" s="111"/>
      <c r="S9" s="111"/>
    </row>
    <row r="10" spans="1:19" ht="14.25" customHeight="1">
      <c r="A10" s="108" t="s">
        <v>136</v>
      </c>
      <c r="B10" s="104" t="s">
        <v>128</v>
      </c>
      <c r="C10" s="104" t="s">
        <v>1112</v>
      </c>
      <c r="D10" s="109">
        <f>'[2]สรุปรายจ่ายตามงบประมาณ '!E88+'[2]สรุปรายจ่ายตามงบประมาณ '!E97</f>
        <v>239700</v>
      </c>
      <c r="E10" s="109">
        <f>'[2]สรุปรายจ่ายตามงบประมาณ '!E109+'[2]สรุปรายจ่ายตามงบประมาณ '!E114</f>
        <v>29800</v>
      </c>
      <c r="F10" s="109">
        <f>'[2]สรุปรายจ่ายตามงบประมาณ '!E120</f>
        <v>0</v>
      </c>
      <c r="G10" s="109">
        <f>'[2]การรักษาความสงบภายใน'!H10</f>
        <v>42000</v>
      </c>
      <c r="H10" s="109">
        <f>'[2]สรุปรายจ่ายตามงบประมาณ '!E126</f>
        <v>36000</v>
      </c>
      <c r="I10" s="109">
        <f>'[2]สรุปรายจ่ายตามงบประมาณ '!E103</f>
        <v>39000</v>
      </c>
      <c r="J10" s="109"/>
      <c r="K10" s="109">
        <v>0</v>
      </c>
      <c r="L10" s="109">
        <v>0</v>
      </c>
      <c r="M10" s="109">
        <f>'[2]สรุปรายจ่ายตามงบประมาณ '!E132</f>
        <v>0</v>
      </c>
      <c r="N10" s="110">
        <v>0</v>
      </c>
      <c r="O10" s="110">
        <f t="shared" si="0"/>
        <v>386500</v>
      </c>
      <c r="P10" s="111"/>
      <c r="Q10" s="111"/>
      <c r="R10" s="111"/>
      <c r="S10" s="111"/>
    </row>
    <row r="11" spans="1:19" ht="14.25" customHeight="1">
      <c r="A11" s="108"/>
      <c r="B11" s="104" t="s">
        <v>129</v>
      </c>
      <c r="C11" s="104" t="s">
        <v>1112</v>
      </c>
      <c r="D11" s="109">
        <f>'[2]สรุปรายจ่ายตามงบประมาณ '!E148+'[2]สรุปรายจ่ายตามงบประมาณ '!E165</f>
        <v>766166</v>
      </c>
      <c r="E11" s="109">
        <f>'[2]สรุปรายจ่ายตามงบประมาณ '!E175+'[2]สรุปรายจ่ายตามงบประมาณ '!E182</f>
        <v>981033</v>
      </c>
      <c r="F11" s="109">
        <f>'[2]สาธารณสุข'!H11</f>
        <v>102012</v>
      </c>
      <c r="G11" s="109">
        <f>'[2]สรุปรายจ่ายตามงบประมาณ '!E157</f>
        <v>38890</v>
      </c>
      <c r="H11" s="109">
        <f>'[2]สังคมสงเคราะห์'!G11</f>
        <v>20672</v>
      </c>
      <c r="I11" s="109">
        <f>'[2]เคหะและชุมชน'!I11</f>
        <v>772361</v>
      </c>
      <c r="J11" s="109"/>
      <c r="K11" s="109">
        <f>'[2]สรุปรายจ่ายตามงบประมาณ '!E242</f>
        <v>43340</v>
      </c>
      <c r="L11" s="109">
        <f>'[2]ศาสนาวัฒนธรรม'!G11</f>
        <v>44206</v>
      </c>
      <c r="M11" s="109">
        <f>'[2]สรุปรายจ่ายตามงบประมาณ '!E249+'[2]สรุปรายจ่ายตามงบประมาณ '!E255</f>
        <v>37870</v>
      </c>
      <c r="N11" s="110">
        <v>0</v>
      </c>
      <c r="O11" s="110">
        <f t="shared" si="0"/>
        <v>2806550</v>
      </c>
      <c r="P11" s="111">
        <v>3583436.02</v>
      </c>
      <c r="Q11" s="111"/>
      <c r="R11" s="111"/>
      <c r="S11" s="111"/>
    </row>
    <row r="12" spans="1:19" ht="14.25" customHeight="1">
      <c r="A12" s="108"/>
      <c r="B12" s="104" t="s">
        <v>130</v>
      </c>
      <c r="C12" s="104" t="s">
        <v>1112</v>
      </c>
      <c r="D12" s="109">
        <f>'[2]สรุปรายจ่ายตามงบประมาณ '!E264+'[2]สรุปรายจ่ายตามงบประมาณ '!E269</f>
        <v>468199.9</v>
      </c>
      <c r="E12" s="109">
        <f>'[2]แผนการศึกษา'!H11</f>
        <v>842121.36</v>
      </c>
      <c r="F12" s="109">
        <f>'[2]สาธารณสุข'!H12</f>
        <v>50250</v>
      </c>
      <c r="G12" s="109">
        <f>'[2]การรักษาความสงบภายใน'!H12</f>
        <v>30600</v>
      </c>
      <c r="H12" s="109">
        <f>'[2]สังคมสงเคราะห์'!G12</f>
        <v>10000</v>
      </c>
      <c r="I12" s="109">
        <f>'[2]เคหะและชุมชน'!I12</f>
        <v>127372.65</v>
      </c>
      <c r="J12" s="109">
        <f>'[2]สรุปรายจ่ายตามงบประมาณ '!K264+'[2]สรุปรายจ่ายตามงบประมาณ '!K269</f>
        <v>0</v>
      </c>
      <c r="K12" s="109">
        <f>'[2]สรุปรายจ่ายตามงบประมาณ '!L264+'[2]สรุปรายจ่ายตามงบประมาณ '!L269</f>
        <v>0</v>
      </c>
      <c r="L12" s="109">
        <f>'[2]สรุปรายจ่ายตามงบประมาณ '!M264+'[2]สรุปรายจ่ายตามงบประมาณ '!M269</f>
        <v>0</v>
      </c>
      <c r="M12" s="109">
        <f>'[2]สรุปรายจ่ายตามงบประมาณ '!N264+'[2]สรุปรายจ่ายตามงบประมาณ '!N269</f>
        <v>0</v>
      </c>
      <c r="N12" s="109">
        <f>'[2]สรุปรายจ่ายตามงบประมาณ '!O264+'[2]สรุปรายจ่ายตามงบประมาณ '!O269</f>
        <v>0</v>
      </c>
      <c r="O12" s="110">
        <f t="shared" si="0"/>
        <v>1528543.91</v>
      </c>
      <c r="P12" s="111">
        <v>1304474.88</v>
      </c>
      <c r="Q12" s="111"/>
      <c r="R12" s="111"/>
      <c r="S12" s="111"/>
    </row>
    <row r="13" spans="1:19" ht="14.25" customHeight="1">
      <c r="A13" s="108"/>
      <c r="B13" s="104" t="s">
        <v>116</v>
      </c>
      <c r="C13" s="104" t="s">
        <v>1112</v>
      </c>
      <c r="D13" s="109">
        <f>'[2]สรุปรายจ่ายตามงบประมาณ '!E310</f>
        <v>339990.57</v>
      </c>
      <c r="E13" s="109">
        <f>'[2]สรุปรายจ่ายตามงบประมาณ '!E315</f>
        <v>22843.29</v>
      </c>
      <c r="F13" s="109">
        <f>'[2]สาธารณสุข'!H14</f>
        <v>27900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10">
        <v>0</v>
      </c>
      <c r="O13" s="110">
        <f t="shared" si="0"/>
        <v>390733.86</v>
      </c>
      <c r="P13" s="111"/>
      <c r="Q13" s="111"/>
      <c r="R13" s="111"/>
      <c r="S13" s="111"/>
    </row>
    <row r="14" spans="1:19" ht="14.25" customHeight="1">
      <c r="A14" s="108" t="s">
        <v>137</v>
      </c>
      <c r="B14" s="104" t="s">
        <v>132</v>
      </c>
      <c r="C14" s="104" t="s">
        <v>1112</v>
      </c>
      <c r="D14" s="109">
        <f>'[2]สรุปรายจ่ายตามงบประมาณ '!E356+'[2]สรุปรายจ่ายตามงบประมาณ '!E362</f>
        <v>108900</v>
      </c>
      <c r="E14" s="109">
        <f>'[2]แผนการศึกษา'!H13</f>
        <v>44800</v>
      </c>
      <c r="F14" s="109">
        <f>'[2]สรุปรายจ่ายตามงบประมาณ '!G356+'[2]สรุปรายจ่ายตามงบประมาณ '!G362</f>
        <v>0</v>
      </c>
      <c r="G14" s="109">
        <f>'[2]การรักษาความสงบภายใน'!H14</f>
        <v>30000</v>
      </c>
      <c r="H14" s="109">
        <f>'[2]สรุปรายจ่ายตามงบประมาณ '!I356+'[2]สรุปรายจ่ายตามงบประมาณ '!I362</f>
        <v>0</v>
      </c>
      <c r="I14" s="109">
        <f>'[2]เคหะและชุมชน'!I14</f>
        <v>104660</v>
      </c>
      <c r="J14" s="109">
        <f>'[2]สรุปรายจ่ายตามงบประมาณ '!K356+'[2]สรุปรายจ่ายตามงบประมาณ '!K362</f>
        <v>0</v>
      </c>
      <c r="K14" s="109">
        <f>'[2]สรุปรายจ่ายตามงบประมาณ '!L356+'[2]สรุปรายจ่ายตามงบประมาณ '!L362</f>
        <v>0</v>
      </c>
      <c r="L14" s="109">
        <f>'[2]สรุปรายจ่ายตามงบประมาณ '!M356+'[2]สรุปรายจ่ายตามงบประมาณ '!M362</f>
        <v>0</v>
      </c>
      <c r="M14" s="109">
        <f>'[2]สรุปรายจ่ายตามงบประมาณ '!N356+'[2]สรุปรายจ่ายตามงบประมาณ '!N362</f>
        <v>0</v>
      </c>
      <c r="N14" s="109">
        <f>'[2]สรุปรายจ่ายตามงบประมาณ '!O356+'[2]สรุปรายจ่ายตามงบประมาณ '!O362</f>
        <v>0</v>
      </c>
      <c r="O14" s="109">
        <f>'[2]สรุปรายจ่ายตามงบประมาณ '!P356+'[2]สรุปรายจ่ายตามงบประมาณ '!P362</f>
        <v>0</v>
      </c>
      <c r="P14" s="111"/>
      <c r="Q14" s="111"/>
      <c r="R14" s="111"/>
      <c r="S14" s="111"/>
    </row>
    <row r="15" spans="1:17" ht="14.25" customHeight="1">
      <c r="A15" s="108"/>
      <c r="B15" s="104" t="s">
        <v>133</v>
      </c>
      <c r="C15" s="104" t="s">
        <v>1112</v>
      </c>
      <c r="D15" s="109"/>
      <c r="E15" s="109"/>
      <c r="F15" s="109"/>
      <c r="G15" s="109"/>
      <c r="H15" s="109"/>
      <c r="I15" s="109">
        <f>'[2]เคหะและชุมชน'!I15</f>
        <v>2535700</v>
      </c>
      <c r="J15" s="109"/>
      <c r="K15" s="109"/>
      <c r="L15" s="109"/>
      <c r="M15" s="109"/>
      <c r="N15" s="109"/>
      <c r="O15" s="109"/>
      <c r="P15" s="111"/>
      <c r="Q15" s="111"/>
    </row>
    <row r="16" spans="1:19" ht="14.25" customHeight="1">
      <c r="A16" s="108" t="s">
        <v>138</v>
      </c>
      <c r="B16" s="104" t="s">
        <v>118</v>
      </c>
      <c r="C16" s="104" t="s">
        <v>1112</v>
      </c>
      <c r="D16" s="109">
        <f>'[2]สรุปรายจ่ายตามงบประมาณ '!E321</f>
        <v>27000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10">
        <v>0</v>
      </c>
      <c r="O16" s="110">
        <f t="shared" si="0"/>
        <v>27000</v>
      </c>
      <c r="P16" s="111"/>
      <c r="Q16" s="111"/>
      <c r="R16" s="111"/>
      <c r="S16" s="111"/>
    </row>
    <row r="17" spans="1:19" ht="14.25" customHeight="1">
      <c r="A17" s="108" t="s">
        <v>139</v>
      </c>
      <c r="B17" s="104" t="s">
        <v>117</v>
      </c>
      <c r="C17" s="104" t="s">
        <v>1112</v>
      </c>
      <c r="D17" s="109">
        <f>'[2]สรุปรายจ่ายตามงบประมาณ '!E325</f>
        <v>0</v>
      </c>
      <c r="E17" s="109">
        <f>'[2]สรุปรายจ่ายตามงบประมาณ '!E338</f>
        <v>1496000</v>
      </c>
      <c r="F17" s="109">
        <f>'[2]สาธารณสุข'!H17</f>
        <v>340000</v>
      </c>
      <c r="G17" s="109">
        <v>0</v>
      </c>
      <c r="H17" s="109">
        <v>0</v>
      </c>
      <c r="I17" s="109">
        <v>0</v>
      </c>
      <c r="J17" s="109"/>
      <c r="K17" s="109">
        <f>'[2]สรุปรายจ่ายตามงบประมาณ '!E340+'[2]สรุปรายจ่ายตามงบประมาณ '!E342</f>
        <v>0</v>
      </c>
      <c r="L17" s="109">
        <v>0</v>
      </c>
      <c r="M17" s="109">
        <v>0</v>
      </c>
      <c r="N17" s="110">
        <v>0</v>
      </c>
      <c r="O17" s="110">
        <f t="shared" si="0"/>
        <v>1836000</v>
      </c>
      <c r="P17" s="111"/>
      <c r="Q17" s="111"/>
      <c r="R17" s="111"/>
      <c r="S17" s="111"/>
    </row>
    <row r="18" spans="1:17" ht="14.25" customHeight="1">
      <c r="A18" s="734" t="s">
        <v>60</v>
      </c>
      <c r="B18" s="735"/>
      <c r="C18" s="736"/>
      <c r="D18" s="112">
        <f aca="true" t="shared" si="1" ref="D18:N18">SUM(D7:D17)</f>
        <v>9481158.47</v>
      </c>
      <c r="E18" s="112">
        <f t="shared" si="1"/>
        <v>5581596.65</v>
      </c>
      <c r="F18" s="112">
        <f t="shared" si="1"/>
        <v>761602</v>
      </c>
      <c r="G18" s="112">
        <f t="shared" si="1"/>
        <v>141490</v>
      </c>
      <c r="H18" s="112">
        <f t="shared" si="1"/>
        <v>1001772</v>
      </c>
      <c r="I18" s="112">
        <f t="shared" si="1"/>
        <v>4414057.65</v>
      </c>
      <c r="J18" s="112">
        <f t="shared" si="1"/>
        <v>0</v>
      </c>
      <c r="K18" s="112">
        <f t="shared" si="1"/>
        <v>43340</v>
      </c>
      <c r="L18" s="112">
        <f t="shared" si="1"/>
        <v>44206</v>
      </c>
      <c r="M18" s="112">
        <f t="shared" si="1"/>
        <v>178304</v>
      </c>
      <c r="N18" s="112">
        <f t="shared" si="1"/>
        <v>14401489</v>
      </c>
      <c r="O18" s="112">
        <f>SUM(D18:N18)</f>
        <v>36049015.77</v>
      </c>
      <c r="P18" s="111"/>
      <c r="Q18" s="111"/>
    </row>
    <row r="19" spans="2:15" ht="14.25" customHeight="1">
      <c r="B19" s="113"/>
      <c r="C19" s="113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4"/>
      <c r="O19" s="114"/>
    </row>
    <row r="20" spans="1:15" ht="14.25" customHeight="1">
      <c r="A20" s="705" t="s">
        <v>685</v>
      </c>
      <c r="B20" s="705"/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</row>
    <row r="22" spans="2:3" ht="18">
      <c r="B22" s="114"/>
      <c r="C22" s="114"/>
    </row>
    <row r="23" spans="2:3" ht="18">
      <c r="B23" s="114"/>
      <c r="C23" s="114"/>
    </row>
    <row r="24" spans="2:3" ht="18">
      <c r="B24" s="114"/>
      <c r="C24" s="114"/>
    </row>
    <row r="25" spans="2:3" ht="18">
      <c r="B25" s="114"/>
      <c r="C25" s="114"/>
    </row>
    <row r="26" spans="2:3" ht="18">
      <c r="B26" s="114"/>
      <c r="C26" s="114"/>
    </row>
    <row r="27" spans="2:3" ht="18">
      <c r="B27" s="114"/>
      <c r="C27" s="114"/>
    </row>
    <row r="29" spans="5:6" ht="18.75">
      <c r="E29" s="115"/>
      <c r="F29" s="116"/>
    </row>
    <row r="30" ht="18">
      <c r="E30" s="117"/>
    </row>
    <row r="31" spans="2:3" ht="18">
      <c r="B31" s="114"/>
      <c r="C31" s="114"/>
    </row>
  </sheetData>
  <sheetProtection/>
  <mergeCells count="20">
    <mergeCell ref="A20:O20"/>
    <mergeCell ref="F4:F5"/>
    <mergeCell ref="J4:J5"/>
    <mergeCell ref="O4:O5"/>
    <mergeCell ref="A4:A5"/>
    <mergeCell ref="N4:N5"/>
    <mergeCell ref="A18:C18"/>
    <mergeCell ref="G4:G5"/>
    <mergeCell ref="H4:H5"/>
    <mergeCell ref="I4:I5"/>
    <mergeCell ref="K4:K5"/>
    <mergeCell ref="L4:L5"/>
    <mergeCell ref="M4:M5"/>
    <mergeCell ref="B1:O1"/>
    <mergeCell ref="B2:O2"/>
    <mergeCell ref="B3:O3"/>
    <mergeCell ref="B4:B5"/>
    <mergeCell ref="C4:C5"/>
    <mergeCell ref="D4:D5"/>
    <mergeCell ref="E4:E5"/>
  </mergeCells>
  <printOptions horizontalCentered="1"/>
  <pageMargins left="0.2" right="0.12" top="0.79" bottom="0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9.8515625" style="118" customWidth="1"/>
    <col min="2" max="2" width="23.421875" style="118" customWidth="1"/>
    <col min="3" max="3" width="23.28125" style="118" customWidth="1"/>
    <col min="4" max="4" width="17.140625" style="141" customWidth="1"/>
    <col min="5" max="5" width="18.421875" style="141" customWidth="1"/>
    <col min="6" max="6" width="18.57421875" style="141" customWidth="1"/>
    <col min="7" max="16384" width="9.00390625" style="118" customWidth="1"/>
  </cols>
  <sheetData>
    <row r="1" spans="1:6" ht="24.75">
      <c r="A1" s="746" t="s">
        <v>360</v>
      </c>
      <c r="B1" s="747"/>
      <c r="C1" s="747"/>
      <c r="D1" s="747"/>
      <c r="E1" s="747"/>
      <c r="F1" s="747"/>
    </row>
    <row r="2" spans="1:6" ht="24.75">
      <c r="A2" s="746" t="s">
        <v>148</v>
      </c>
      <c r="B2" s="747"/>
      <c r="C2" s="747"/>
      <c r="D2" s="747"/>
      <c r="E2" s="747"/>
      <c r="F2" s="747"/>
    </row>
    <row r="3" spans="1:6" ht="24.75">
      <c r="A3" s="746" t="s">
        <v>856</v>
      </c>
      <c r="B3" s="747"/>
      <c r="C3" s="747"/>
      <c r="D3" s="747"/>
      <c r="E3" s="747"/>
      <c r="F3" s="747"/>
    </row>
    <row r="4" spans="1:6" ht="24.75">
      <c r="A4" s="422"/>
      <c r="B4" s="422"/>
      <c r="C4" s="422"/>
      <c r="D4" s="594"/>
      <c r="E4" s="594"/>
      <c r="F4" s="594"/>
    </row>
    <row r="5" spans="1:6" ht="23.25" customHeight="1">
      <c r="A5" s="748" t="s">
        <v>134</v>
      </c>
      <c r="B5" s="737" t="s">
        <v>77</v>
      </c>
      <c r="C5" s="737" t="s">
        <v>74</v>
      </c>
      <c r="D5" s="739" t="s">
        <v>106</v>
      </c>
      <c r="E5" s="739" t="s">
        <v>113</v>
      </c>
      <c r="F5" s="739" t="s">
        <v>60</v>
      </c>
    </row>
    <row r="6" spans="1:6" ht="24.75">
      <c r="A6" s="749"/>
      <c r="B6" s="738"/>
      <c r="C6" s="738"/>
      <c r="D6" s="740"/>
      <c r="E6" s="740"/>
      <c r="F6" s="740"/>
    </row>
    <row r="7" spans="1:6" ht="24.75">
      <c r="A7" s="595" t="s">
        <v>114</v>
      </c>
      <c r="B7" s="595"/>
      <c r="C7" s="595"/>
      <c r="D7" s="596"/>
      <c r="E7" s="596"/>
      <c r="F7" s="596"/>
    </row>
    <row r="8" spans="1:6" ht="24.75">
      <c r="A8" s="597" t="s">
        <v>113</v>
      </c>
      <c r="B8" s="598" t="s">
        <v>131</v>
      </c>
      <c r="C8" s="598" t="s">
        <v>80</v>
      </c>
      <c r="D8" s="142">
        <f>'[2]สรุปรายจ่ายตามงบประมาณ '!D15</f>
        <v>16194980</v>
      </c>
      <c r="E8" s="142">
        <f>'[2]สรุปรายจ่ายตามงบประมาณ '!E15</f>
        <v>14401489</v>
      </c>
      <c r="F8" s="596">
        <f>SUM(E8:E8)</f>
        <v>14401489</v>
      </c>
    </row>
    <row r="9" spans="1:6" ht="24.75">
      <c r="A9" s="597"/>
      <c r="B9" s="598"/>
      <c r="C9" s="598"/>
      <c r="D9" s="596">
        <v>0</v>
      </c>
      <c r="E9" s="142"/>
      <c r="F9" s="596">
        <f>SUM(E9:E9)</f>
        <v>0</v>
      </c>
    </row>
    <row r="10" spans="1:6" ht="24.75">
      <c r="A10" s="597"/>
      <c r="B10" s="598"/>
      <c r="C10" s="598"/>
      <c r="D10" s="596"/>
      <c r="E10" s="596"/>
      <c r="F10" s="596"/>
    </row>
    <row r="11" spans="1:6" ht="24.75">
      <c r="A11" s="597"/>
      <c r="B11" s="598"/>
      <c r="C11" s="598"/>
      <c r="D11" s="596"/>
      <c r="E11" s="596"/>
      <c r="F11" s="596"/>
    </row>
    <row r="12" spans="1:6" ht="24.75">
      <c r="A12" s="597"/>
      <c r="B12" s="598"/>
      <c r="C12" s="598"/>
      <c r="D12" s="596"/>
      <c r="E12" s="596"/>
      <c r="F12" s="596"/>
    </row>
    <row r="13" spans="1:6" ht="24.75">
      <c r="A13" s="597"/>
      <c r="B13" s="598"/>
      <c r="C13" s="598"/>
      <c r="D13" s="596"/>
      <c r="E13" s="596"/>
      <c r="F13" s="596"/>
    </row>
    <row r="14" spans="1:6" ht="24.75">
      <c r="A14" s="597"/>
      <c r="B14" s="598"/>
      <c r="C14" s="598"/>
      <c r="D14" s="596"/>
      <c r="E14" s="596"/>
      <c r="F14" s="596"/>
    </row>
    <row r="15" spans="1:6" ht="24.75">
      <c r="A15" s="743" t="s">
        <v>60</v>
      </c>
      <c r="B15" s="744"/>
      <c r="C15" s="745"/>
      <c r="D15" s="119">
        <f>SUM(D8:D14)</f>
        <v>16194980</v>
      </c>
      <c r="E15" s="119">
        <f>SUM(E8:E14)</f>
        <v>14401489</v>
      </c>
      <c r="F15" s="119">
        <f>SUM(F8:F14)</f>
        <v>14401489</v>
      </c>
    </row>
    <row r="17" spans="1:8" ht="24.75">
      <c r="A17" s="741" t="s">
        <v>686</v>
      </c>
      <c r="B17" s="741"/>
      <c r="C17" s="741"/>
      <c r="D17" s="742"/>
      <c r="E17" s="742"/>
      <c r="F17" s="742"/>
      <c r="G17" s="741"/>
      <c r="H17" s="741"/>
    </row>
  </sheetData>
  <sheetProtection/>
  <mergeCells count="11">
    <mergeCell ref="A1:F1"/>
    <mergeCell ref="A2:F2"/>
    <mergeCell ref="A3:F3"/>
    <mergeCell ref="A5:A6"/>
    <mergeCell ref="B5:B6"/>
    <mergeCell ref="C5:C6"/>
    <mergeCell ref="D5:D6"/>
    <mergeCell ref="A17:H17"/>
    <mergeCell ref="E5:E6"/>
    <mergeCell ref="F5:F6"/>
    <mergeCell ref="A15:C15"/>
  </mergeCells>
  <printOptions horizontalCentered="1"/>
  <pageMargins left="0.47" right="0.12" top="0.7874015748031497" bottom="0.7480314960629921" header="0.31496062992125984" footer="0.31496062992125984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2.7109375" style="118" customWidth="1"/>
    <col min="2" max="2" width="20.421875" style="118" customWidth="1"/>
    <col min="3" max="3" width="18.57421875" style="118" customWidth="1"/>
    <col min="4" max="4" width="15.8515625" style="141" customWidth="1"/>
    <col min="5" max="5" width="15.00390625" style="141" customWidth="1"/>
    <col min="6" max="6" width="13.57421875" style="141" customWidth="1"/>
    <col min="7" max="7" width="14.421875" style="141" customWidth="1"/>
    <col min="8" max="8" width="16.140625" style="141" customWidth="1"/>
    <col min="9" max="9" width="12.57421875" style="118" customWidth="1"/>
    <col min="10" max="16384" width="9.00390625" style="118" customWidth="1"/>
  </cols>
  <sheetData>
    <row r="1" spans="1:8" ht="24.75">
      <c r="A1" s="746" t="s">
        <v>360</v>
      </c>
      <c r="B1" s="747"/>
      <c r="C1" s="747"/>
      <c r="D1" s="747"/>
      <c r="E1" s="747"/>
      <c r="F1" s="747"/>
      <c r="G1" s="747"/>
      <c r="H1" s="747"/>
    </row>
    <row r="2" spans="1:8" ht="24.75">
      <c r="A2" s="746" t="s">
        <v>144</v>
      </c>
      <c r="B2" s="747"/>
      <c r="C2" s="747"/>
      <c r="D2" s="747"/>
      <c r="E2" s="747"/>
      <c r="F2" s="747"/>
      <c r="G2" s="747"/>
      <c r="H2" s="747"/>
    </row>
    <row r="3" spans="1:8" ht="24.75">
      <c r="A3" s="746" t="s">
        <v>856</v>
      </c>
      <c r="B3" s="747"/>
      <c r="C3" s="747"/>
      <c r="D3" s="747"/>
      <c r="E3" s="747"/>
      <c r="F3" s="747"/>
      <c r="G3" s="747"/>
      <c r="H3" s="747"/>
    </row>
    <row r="5" spans="1:8" ht="24.75">
      <c r="A5" s="748" t="s">
        <v>134</v>
      </c>
      <c r="B5" s="737" t="s">
        <v>77</v>
      </c>
      <c r="C5" s="737" t="s">
        <v>74</v>
      </c>
      <c r="D5" s="739" t="s">
        <v>106</v>
      </c>
      <c r="E5" s="739" t="s">
        <v>145</v>
      </c>
      <c r="F5" s="739" t="s">
        <v>146</v>
      </c>
      <c r="G5" s="739" t="s">
        <v>147</v>
      </c>
      <c r="H5" s="739" t="s">
        <v>60</v>
      </c>
    </row>
    <row r="6" spans="1:8" ht="24.75">
      <c r="A6" s="749"/>
      <c r="B6" s="738"/>
      <c r="C6" s="738"/>
      <c r="D6" s="740"/>
      <c r="E6" s="740"/>
      <c r="F6" s="740"/>
      <c r="G6" s="740"/>
      <c r="H6" s="740"/>
    </row>
    <row r="7" spans="1:8" ht="24.75">
      <c r="A7" s="595" t="s">
        <v>114</v>
      </c>
      <c r="B7" s="595"/>
      <c r="C7" s="595"/>
      <c r="D7" s="142"/>
      <c r="E7" s="142"/>
      <c r="F7" s="142"/>
      <c r="G7" s="142"/>
      <c r="H7" s="142"/>
    </row>
    <row r="8" spans="1:10" ht="24.75">
      <c r="A8" s="597" t="s">
        <v>135</v>
      </c>
      <c r="B8" s="598" t="s">
        <v>115</v>
      </c>
      <c r="C8" s="598" t="s">
        <v>80</v>
      </c>
      <c r="D8" s="142">
        <f>'[2]สรุปรายจ่ายตามงบประมาณ '!D23</f>
        <v>3155120</v>
      </c>
      <c r="E8" s="142">
        <f>'[2]สรุปรายจ่ายตามงบประมาณ '!E23</f>
        <v>2868085</v>
      </c>
      <c r="F8" s="142"/>
      <c r="G8" s="142"/>
      <c r="H8" s="142">
        <f>SUM(E8:G8)</f>
        <v>2868085</v>
      </c>
      <c r="J8" s="118">
        <v>2155120</v>
      </c>
    </row>
    <row r="9" spans="1:9" ht="24.75">
      <c r="A9" s="597"/>
      <c r="B9" s="598" t="s">
        <v>127</v>
      </c>
      <c r="C9" s="598" t="s">
        <v>80</v>
      </c>
      <c r="D9" s="142">
        <f>'[2]สรุปรายจ่ายตามงบประมาณ '!D32+'[2]สรุปรายจ่ายตามงบประมาณ '!D40</f>
        <v>5553850</v>
      </c>
      <c r="E9" s="142">
        <f>'[2]สรุปรายจ่ายตามงบประมาณ '!E32</f>
        <v>3053327</v>
      </c>
      <c r="F9" s="142"/>
      <c r="G9" s="142">
        <f>'[2]สรุปรายจ่ายตามงบประมาณ '!E40</f>
        <v>1609790</v>
      </c>
      <c r="H9" s="142">
        <f>SUM(E9:G9)</f>
        <v>4663117</v>
      </c>
      <c r="I9" s="599"/>
    </row>
    <row r="10" spans="1:8" ht="24.75">
      <c r="A10" s="597" t="s">
        <v>136</v>
      </c>
      <c r="B10" s="598" t="s">
        <v>128</v>
      </c>
      <c r="C10" s="598" t="s">
        <v>80</v>
      </c>
      <c r="D10" s="142">
        <f>'[2]สรุปรายจ่ายตามงบประมาณ '!D88+'[2]สรุปรายจ่ายตามงบประมาณ '!D97</f>
        <v>571200</v>
      </c>
      <c r="E10" s="142">
        <f>'[2]สรุปรายจ่ายตามงบประมาณ '!E88</f>
        <v>67800</v>
      </c>
      <c r="F10" s="142"/>
      <c r="G10" s="142">
        <f>'[2]สรุปรายจ่ายตามงบประมาณ '!E97</f>
        <v>171900</v>
      </c>
      <c r="H10" s="142">
        <f>SUM(E10:G10)</f>
        <v>239700</v>
      </c>
    </row>
    <row r="11" spans="1:10" ht="24.75">
      <c r="A11" s="597"/>
      <c r="B11" s="598" t="s">
        <v>129</v>
      </c>
      <c r="C11" s="598" t="s">
        <v>80</v>
      </c>
      <c r="D11" s="142">
        <f>'[2]สรุปรายจ่ายตามงบประมาณ '!D148+'[2]สรุปรายจ่ายตามงบประมาณ '!D165</f>
        <v>1524590</v>
      </c>
      <c r="E11" s="142">
        <f>'[2]สรุปรายจ่ายตามงบประมาณ '!E148</f>
        <v>641647</v>
      </c>
      <c r="F11" s="142"/>
      <c r="G11" s="142">
        <f>'[2]สรุปรายจ่ายตามงบประมาณ '!E165</f>
        <v>124519</v>
      </c>
      <c r="H11" s="142">
        <f aca="true" t="shared" si="0" ref="H11:H17">SUM(E11:G11)</f>
        <v>766166</v>
      </c>
      <c r="J11" s="118">
        <v>1724590</v>
      </c>
    </row>
    <row r="12" spans="1:8" ht="24.75">
      <c r="A12" s="597"/>
      <c r="B12" s="598" t="s">
        <v>130</v>
      </c>
      <c r="C12" s="598" t="s">
        <v>80</v>
      </c>
      <c r="D12" s="142">
        <f>'[2]สรุปรายจ่ายตามงบประมาณ '!D264+'[2]สรุปรายจ่ายตามงบประมาณ '!D269</f>
        <v>610000</v>
      </c>
      <c r="E12" s="142">
        <f>'[2]สรุปรายจ่ายตามงบประมาณ '!E264</f>
        <v>408066</v>
      </c>
      <c r="F12" s="142">
        <v>0</v>
      </c>
      <c r="G12" s="142">
        <f>'[2]สรุปรายจ่ายตามงบประมาณ '!E269</f>
        <v>60133.9</v>
      </c>
      <c r="H12" s="142">
        <f t="shared" si="0"/>
        <v>468199.9</v>
      </c>
    </row>
    <row r="13" spans="1:8" ht="24.75">
      <c r="A13" s="597"/>
      <c r="B13" s="598" t="s">
        <v>116</v>
      </c>
      <c r="C13" s="598" t="s">
        <v>80</v>
      </c>
      <c r="D13" s="142">
        <f>'[2]สรุปรายจ่ายตามงบประมาณ '!D310</f>
        <v>510280</v>
      </c>
      <c r="E13" s="142">
        <f>'[2]สรุปรายจ่ายตามงบประมาณ '!E310</f>
        <v>339990.57</v>
      </c>
      <c r="F13" s="142"/>
      <c r="G13" s="142"/>
      <c r="H13" s="142">
        <f>SUM(E13:G13)</f>
        <v>339990.57</v>
      </c>
    </row>
    <row r="14" spans="1:8" ht="24.75">
      <c r="A14" s="597" t="s">
        <v>137</v>
      </c>
      <c r="B14" s="598" t="s">
        <v>132</v>
      </c>
      <c r="C14" s="598" t="s">
        <v>80</v>
      </c>
      <c r="D14" s="142">
        <f>'[2]สรุปรายจ่ายตามงบประมาณ '!D356+'[2]สรุปรายจ่ายตามงบประมาณ '!D362</f>
        <v>115500</v>
      </c>
      <c r="E14" s="142">
        <f>'[2]สรุปรายจ่ายตามงบประมาณ '!E356</f>
        <v>71100</v>
      </c>
      <c r="F14" s="142"/>
      <c r="G14" s="142">
        <f>'[2]สรุปรายจ่ายตามงบประมาณ '!E362</f>
        <v>37800</v>
      </c>
      <c r="H14" s="142">
        <f t="shared" si="0"/>
        <v>108900</v>
      </c>
    </row>
    <row r="15" spans="1:8" ht="24.75">
      <c r="A15" s="597"/>
      <c r="B15" s="598" t="s">
        <v>133</v>
      </c>
      <c r="C15" s="598" t="s">
        <v>80</v>
      </c>
      <c r="D15" s="142">
        <v>0</v>
      </c>
      <c r="E15" s="142">
        <v>0</v>
      </c>
      <c r="F15" s="142">
        <v>0</v>
      </c>
      <c r="G15" s="142">
        <v>0</v>
      </c>
      <c r="H15" s="142">
        <f t="shared" si="0"/>
        <v>0</v>
      </c>
    </row>
    <row r="16" spans="1:8" ht="24.75">
      <c r="A16" s="597" t="s">
        <v>138</v>
      </c>
      <c r="B16" s="598" t="s">
        <v>118</v>
      </c>
      <c r="C16" s="598" t="s">
        <v>80</v>
      </c>
      <c r="D16" s="142">
        <f>'[2]สรุปรายจ่ายตามงบประมาณ '!D321</f>
        <v>35000</v>
      </c>
      <c r="E16" s="142">
        <f>'[2]สรุปรายจ่ายตามงบประมาณ '!E321</f>
        <v>27000</v>
      </c>
      <c r="F16" s="142">
        <v>0</v>
      </c>
      <c r="G16" s="142">
        <v>0</v>
      </c>
      <c r="H16" s="142">
        <f t="shared" si="0"/>
        <v>27000</v>
      </c>
    </row>
    <row r="17" spans="1:8" ht="24.75">
      <c r="A17" s="597" t="s">
        <v>139</v>
      </c>
      <c r="B17" s="598" t="s">
        <v>117</v>
      </c>
      <c r="C17" s="598" t="s">
        <v>80</v>
      </c>
      <c r="D17" s="142">
        <f>'[2]สรุปรายจ่ายตามงบประมาณ '!D325</f>
        <v>32000</v>
      </c>
      <c r="E17" s="142">
        <f>'[2]สรุปรายจ่ายตามงบประมาณ '!E325</f>
        <v>0</v>
      </c>
      <c r="F17" s="142"/>
      <c r="G17" s="142"/>
      <c r="H17" s="142">
        <f t="shared" si="0"/>
        <v>0</v>
      </c>
    </row>
    <row r="18" spans="1:8" ht="24.75">
      <c r="A18" s="743" t="s">
        <v>60</v>
      </c>
      <c r="B18" s="744"/>
      <c r="C18" s="745"/>
      <c r="D18" s="119">
        <f>SUM(D8:D17)</f>
        <v>12107540</v>
      </c>
      <c r="E18" s="119">
        <f>SUM(E8:E17)</f>
        <v>7477015.57</v>
      </c>
      <c r="F18" s="119">
        <f>SUM(F8:F17)</f>
        <v>0</v>
      </c>
      <c r="G18" s="119">
        <f>SUM(G8:G17)</f>
        <v>2004142.9</v>
      </c>
      <c r="H18" s="119">
        <f>SUM(H8:H17)</f>
        <v>9481158.47</v>
      </c>
    </row>
    <row r="20" spans="1:8" ht="24.75">
      <c r="A20" s="741" t="s">
        <v>686</v>
      </c>
      <c r="B20" s="741"/>
      <c r="C20" s="741"/>
      <c r="D20" s="742"/>
      <c r="E20" s="742"/>
      <c r="F20" s="742"/>
      <c r="G20" s="741"/>
      <c r="H20" s="741"/>
    </row>
  </sheetData>
  <sheetProtection/>
  <mergeCells count="13">
    <mergeCell ref="A20:H20"/>
    <mergeCell ref="A1:H1"/>
    <mergeCell ref="A2:H2"/>
    <mergeCell ref="A3:H3"/>
    <mergeCell ref="A5:A6"/>
    <mergeCell ref="B5:B6"/>
    <mergeCell ref="C5:C6"/>
    <mergeCell ref="D5:D6"/>
    <mergeCell ref="E5:E6"/>
    <mergeCell ref="F5:F6"/>
    <mergeCell ref="G5:G6"/>
    <mergeCell ref="H5:H6"/>
    <mergeCell ref="A18:C18"/>
  </mergeCells>
  <printOptions horizontalCentered="1"/>
  <pageMargins left="0.37" right="0" top="0.53" bottom="0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140" zoomScaleNormal="140" zoomScalePageLayoutView="0" workbookViewId="0" topLeftCell="A1">
      <selection activeCell="D4" sqref="D4"/>
    </sheetView>
  </sheetViews>
  <sheetFormatPr defaultColWidth="9.140625" defaultRowHeight="15"/>
  <cols>
    <col min="1" max="8" width="9.00390625" style="26" customWidth="1"/>
    <col min="9" max="9" width="13.28125" style="26" customWidth="1"/>
    <col min="10" max="16384" width="9.00390625" style="26" customWidth="1"/>
  </cols>
  <sheetData>
    <row r="1" spans="1:9" ht="24.75">
      <c r="A1" s="624" t="s">
        <v>360</v>
      </c>
      <c r="B1" s="624"/>
      <c r="C1" s="624"/>
      <c r="D1" s="624"/>
      <c r="E1" s="624"/>
      <c r="F1" s="624"/>
      <c r="G1" s="624"/>
      <c r="H1" s="624"/>
      <c r="I1" s="624"/>
    </row>
    <row r="2" spans="1:9" ht="24.75">
      <c r="A2" s="624" t="s">
        <v>62</v>
      </c>
      <c r="B2" s="624"/>
      <c r="C2" s="624"/>
      <c r="D2" s="624"/>
      <c r="E2" s="624"/>
      <c r="F2" s="624"/>
      <c r="G2" s="624"/>
      <c r="H2" s="624"/>
      <c r="I2" s="624"/>
    </row>
    <row r="3" spans="1:9" ht="24.75">
      <c r="A3" s="624" t="s">
        <v>1120</v>
      </c>
      <c r="B3" s="624"/>
      <c r="C3" s="624"/>
      <c r="D3" s="624"/>
      <c r="E3" s="624"/>
      <c r="F3" s="624"/>
      <c r="G3" s="624"/>
      <c r="H3" s="624"/>
      <c r="I3" s="624"/>
    </row>
    <row r="5" ht="24.75">
      <c r="A5" s="28" t="s">
        <v>1117</v>
      </c>
    </row>
    <row r="6" ht="24.75">
      <c r="B6" s="26" t="s">
        <v>1121</v>
      </c>
    </row>
    <row r="7" ht="24.75">
      <c r="A7" s="26" t="s">
        <v>1122</v>
      </c>
    </row>
    <row r="8" ht="24.75">
      <c r="A8" s="26" t="s">
        <v>1123</v>
      </c>
    </row>
    <row r="9" ht="24.75">
      <c r="B9" s="26" t="s">
        <v>1130</v>
      </c>
    </row>
    <row r="10" ht="24.75">
      <c r="B10" s="26" t="s">
        <v>1124</v>
      </c>
    </row>
    <row r="11" ht="24.75">
      <c r="A11" s="26" t="s">
        <v>1125</v>
      </c>
    </row>
    <row r="12" ht="24.75">
      <c r="B12" s="26" t="s">
        <v>1131</v>
      </c>
    </row>
    <row r="13" ht="24.75">
      <c r="A13" s="28" t="s">
        <v>1126</v>
      </c>
    </row>
    <row r="14" ht="24.75">
      <c r="B14" s="26" t="s">
        <v>1118</v>
      </c>
    </row>
    <row r="15" ht="24.75">
      <c r="B15" s="26" t="s">
        <v>1127</v>
      </c>
    </row>
    <row r="16" ht="24.75">
      <c r="A16" s="26" t="s">
        <v>1128</v>
      </c>
    </row>
    <row r="17" ht="24.75">
      <c r="A17" s="26" t="s">
        <v>1129</v>
      </c>
    </row>
    <row r="18" ht="24.75">
      <c r="B18" s="26" t="s">
        <v>1119</v>
      </c>
    </row>
  </sheetData>
  <sheetProtection/>
  <mergeCells count="3">
    <mergeCell ref="A1:I1"/>
    <mergeCell ref="A2:I2"/>
    <mergeCell ref="A3:I3"/>
  </mergeCells>
  <printOptions/>
  <pageMargins left="0.84" right="0.29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12.7109375" style="118" customWidth="1"/>
    <col min="2" max="2" width="20.421875" style="118" customWidth="1"/>
    <col min="3" max="3" width="23.28125" style="118" customWidth="1"/>
    <col min="4" max="4" width="13.8515625" style="141" customWidth="1"/>
    <col min="5" max="5" width="16.7109375" style="141" customWidth="1"/>
    <col min="6" max="6" width="13.57421875" style="141" customWidth="1"/>
    <col min="7" max="7" width="16.00390625" style="141" customWidth="1"/>
    <col min="8" max="8" width="13.7109375" style="141" customWidth="1"/>
    <col min="9" max="16384" width="9.00390625" style="118" customWidth="1"/>
  </cols>
  <sheetData>
    <row r="1" spans="1:8" ht="24.75">
      <c r="A1" s="746" t="s">
        <v>360</v>
      </c>
      <c r="B1" s="747"/>
      <c r="C1" s="747"/>
      <c r="D1" s="747"/>
      <c r="E1" s="747"/>
      <c r="F1" s="747"/>
      <c r="G1" s="747"/>
      <c r="H1" s="747"/>
    </row>
    <row r="2" spans="1:8" ht="24.75">
      <c r="A2" s="746" t="s">
        <v>149</v>
      </c>
      <c r="B2" s="747"/>
      <c r="C2" s="747"/>
      <c r="D2" s="747"/>
      <c r="E2" s="747"/>
      <c r="F2" s="747"/>
      <c r="G2" s="747"/>
      <c r="H2" s="747"/>
    </row>
    <row r="3" spans="1:8" ht="24.75">
      <c r="A3" s="746" t="s">
        <v>857</v>
      </c>
      <c r="B3" s="747"/>
      <c r="C3" s="747"/>
      <c r="D3" s="747"/>
      <c r="E3" s="747"/>
      <c r="F3" s="747"/>
      <c r="G3" s="747"/>
      <c r="H3" s="747"/>
    </row>
    <row r="4" ht="14.25" customHeight="1"/>
    <row r="5" spans="1:8" ht="39" customHeight="1">
      <c r="A5" s="748" t="s">
        <v>134</v>
      </c>
      <c r="B5" s="737" t="s">
        <v>77</v>
      </c>
      <c r="C5" s="737" t="s">
        <v>74</v>
      </c>
      <c r="D5" s="739" t="s">
        <v>106</v>
      </c>
      <c r="E5" s="739" t="s">
        <v>150</v>
      </c>
      <c r="F5" s="739" t="s">
        <v>151</v>
      </c>
      <c r="G5" s="739" t="s">
        <v>152</v>
      </c>
      <c r="H5" s="739" t="s">
        <v>60</v>
      </c>
    </row>
    <row r="6" spans="1:8" ht="51" customHeight="1">
      <c r="A6" s="749"/>
      <c r="B6" s="738"/>
      <c r="C6" s="738"/>
      <c r="D6" s="740"/>
      <c r="E6" s="740"/>
      <c r="F6" s="740"/>
      <c r="G6" s="740"/>
      <c r="H6" s="740"/>
    </row>
    <row r="7" spans="1:8" ht="24.75">
      <c r="A7" s="595" t="s">
        <v>114</v>
      </c>
      <c r="B7" s="595"/>
      <c r="C7" s="595"/>
      <c r="D7" s="142"/>
      <c r="E7" s="142"/>
      <c r="F7" s="142"/>
      <c r="G7" s="142"/>
      <c r="H7" s="142"/>
    </row>
    <row r="8" spans="1:8" ht="24.75">
      <c r="A8" s="597" t="s">
        <v>135</v>
      </c>
      <c r="B8" s="598" t="s">
        <v>115</v>
      </c>
      <c r="C8" s="598" t="s">
        <v>80</v>
      </c>
      <c r="D8" s="142"/>
      <c r="E8" s="142"/>
      <c r="F8" s="142"/>
      <c r="G8" s="142"/>
      <c r="H8" s="142">
        <f>SUM(E8:G8)</f>
        <v>0</v>
      </c>
    </row>
    <row r="9" spans="1:8" ht="24.75">
      <c r="A9" s="597"/>
      <c r="B9" s="598" t="s">
        <v>127</v>
      </c>
      <c r="C9" s="598" t="s">
        <v>80</v>
      </c>
      <c r="D9" s="142"/>
      <c r="E9" s="142"/>
      <c r="F9" s="142"/>
      <c r="G9" s="142"/>
      <c r="H9" s="142">
        <f>SUM(E9:G9)</f>
        <v>0</v>
      </c>
    </row>
    <row r="10" spans="1:8" ht="24.75">
      <c r="A10" s="597" t="s">
        <v>136</v>
      </c>
      <c r="B10" s="598" t="s">
        <v>128</v>
      </c>
      <c r="C10" s="598" t="s">
        <v>80</v>
      </c>
      <c r="D10" s="142">
        <f>'[2]สรุปรายจ่ายตามงบประมาณ '!D90</f>
        <v>45000</v>
      </c>
      <c r="E10" s="142">
        <f>'[2]สรุปรายจ่ายตามงบประมาณ '!E90</f>
        <v>42000</v>
      </c>
      <c r="F10" s="142"/>
      <c r="G10" s="142"/>
      <c r="H10" s="142">
        <f>SUM(E10:G10)</f>
        <v>42000</v>
      </c>
    </row>
    <row r="11" spans="1:8" ht="24.75">
      <c r="A11" s="597"/>
      <c r="B11" s="598" t="s">
        <v>129</v>
      </c>
      <c r="C11" s="598" t="s">
        <v>80</v>
      </c>
      <c r="D11" s="142">
        <f>'[2]สรุปรายจ่ายตามงบประมาณ '!D157</f>
        <v>200000</v>
      </c>
      <c r="E11" s="142"/>
      <c r="F11" s="142"/>
      <c r="G11" s="142">
        <f>'[2]สรุปรายจ่ายตามงบประมาณ '!E157</f>
        <v>38890</v>
      </c>
      <c r="H11" s="142">
        <f aca="true" t="shared" si="0" ref="H11:H17">SUM(E11:G11)</f>
        <v>38890</v>
      </c>
    </row>
    <row r="12" spans="1:8" ht="24.75">
      <c r="A12" s="597"/>
      <c r="B12" s="598" t="s">
        <v>130</v>
      </c>
      <c r="C12" s="598" t="s">
        <v>80</v>
      </c>
      <c r="D12" s="142">
        <f>'[2]สรุปรายจ่ายตามงบประมาณ '!D266</f>
        <v>30600</v>
      </c>
      <c r="E12" s="142"/>
      <c r="F12" s="142"/>
      <c r="G12" s="142">
        <f>'[2]สรุปรายจ่ายตามงบประมาณ '!E266</f>
        <v>30600</v>
      </c>
      <c r="H12" s="142">
        <f t="shared" si="0"/>
        <v>30600</v>
      </c>
    </row>
    <row r="13" spans="1:8" ht="24.75">
      <c r="A13" s="597"/>
      <c r="B13" s="598" t="s">
        <v>116</v>
      </c>
      <c r="C13" s="598" t="s">
        <v>80</v>
      </c>
      <c r="D13" s="142"/>
      <c r="E13" s="142"/>
      <c r="F13" s="142"/>
      <c r="G13" s="142"/>
      <c r="H13" s="142">
        <f t="shared" si="0"/>
        <v>0</v>
      </c>
    </row>
    <row r="14" spans="1:8" ht="24.75">
      <c r="A14" s="597" t="s">
        <v>137</v>
      </c>
      <c r="B14" s="598" t="s">
        <v>132</v>
      </c>
      <c r="C14" s="598" t="s">
        <v>80</v>
      </c>
      <c r="D14" s="142">
        <f>'[2]สรุปรายจ่ายตามงบประมาณ '!D378+'[2]สรุปรายจ่ายตามงบประมาณ '!D381</f>
        <v>70000</v>
      </c>
      <c r="E14" s="142"/>
      <c r="F14" s="142"/>
      <c r="G14" s="142">
        <f>'[2]สรุปรายจ่ายตามงบประมาณ '!E381</f>
        <v>30000</v>
      </c>
      <c r="H14" s="142">
        <f t="shared" si="0"/>
        <v>30000</v>
      </c>
    </row>
    <row r="15" spans="1:8" ht="24.75">
      <c r="A15" s="597"/>
      <c r="B15" s="598" t="s">
        <v>133</v>
      </c>
      <c r="C15" s="598" t="s">
        <v>80</v>
      </c>
      <c r="D15" s="142"/>
      <c r="E15" s="142"/>
      <c r="F15" s="142"/>
      <c r="G15" s="142"/>
      <c r="H15" s="142">
        <f t="shared" si="0"/>
        <v>0</v>
      </c>
    </row>
    <row r="16" spans="1:8" ht="24.75">
      <c r="A16" s="597" t="s">
        <v>138</v>
      </c>
      <c r="B16" s="598" t="s">
        <v>118</v>
      </c>
      <c r="C16" s="598" t="s">
        <v>80</v>
      </c>
      <c r="D16" s="142"/>
      <c r="E16" s="142"/>
      <c r="F16" s="142"/>
      <c r="G16" s="142"/>
      <c r="H16" s="142">
        <f t="shared" si="0"/>
        <v>0</v>
      </c>
    </row>
    <row r="17" spans="1:8" ht="24.75">
      <c r="A17" s="597" t="s">
        <v>139</v>
      </c>
      <c r="B17" s="598" t="s">
        <v>117</v>
      </c>
      <c r="C17" s="598" t="s">
        <v>80</v>
      </c>
      <c r="D17" s="142"/>
      <c r="E17" s="142"/>
      <c r="F17" s="142"/>
      <c r="G17" s="142"/>
      <c r="H17" s="142">
        <f t="shared" si="0"/>
        <v>0</v>
      </c>
    </row>
    <row r="18" spans="1:8" ht="24.75">
      <c r="A18" s="743" t="s">
        <v>60</v>
      </c>
      <c r="B18" s="744"/>
      <c r="C18" s="745"/>
      <c r="D18" s="119">
        <f>SUM(D8:D17)</f>
        <v>345600</v>
      </c>
      <c r="E18" s="119">
        <f>SUM(E8:E17)</f>
        <v>42000</v>
      </c>
      <c r="F18" s="119">
        <f>SUM(F8:F17)</f>
        <v>0</v>
      </c>
      <c r="G18" s="119">
        <f>SUM(G8:G17)</f>
        <v>99490</v>
      </c>
      <c r="H18" s="119">
        <f>SUM(H8:H17)</f>
        <v>141490</v>
      </c>
    </row>
    <row r="20" spans="1:8" ht="24.75">
      <c r="A20" s="741" t="s">
        <v>686</v>
      </c>
      <c r="B20" s="741"/>
      <c r="C20" s="741"/>
      <c r="D20" s="742"/>
      <c r="E20" s="742"/>
      <c r="F20" s="742"/>
      <c r="G20" s="741"/>
      <c r="H20" s="741"/>
    </row>
  </sheetData>
  <sheetProtection/>
  <mergeCells count="13">
    <mergeCell ref="C5:C6"/>
    <mergeCell ref="D5:D6"/>
    <mergeCell ref="E5:E6"/>
    <mergeCell ref="A20:H20"/>
    <mergeCell ref="F5:F6"/>
    <mergeCell ref="G5:G6"/>
    <mergeCell ref="H5:H6"/>
    <mergeCell ref="A18:C18"/>
    <mergeCell ref="A1:H1"/>
    <mergeCell ref="A2:H2"/>
    <mergeCell ref="A3:H3"/>
    <mergeCell ref="A5:A6"/>
    <mergeCell ref="B5:B6"/>
  </mergeCells>
  <printOptions horizontalCentered="1"/>
  <pageMargins left="0.33" right="0" top="0.3937007874015748" bottom="0" header="0.31496062992125984" footer="0.31496062992125984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L11" sqref="L11"/>
    </sheetView>
  </sheetViews>
  <sheetFormatPr defaultColWidth="14.28125" defaultRowHeight="15"/>
  <cols>
    <col min="1" max="1" width="11.421875" style="118" customWidth="1"/>
    <col min="2" max="2" width="20.28125" style="118" customWidth="1"/>
    <col min="3" max="3" width="19.7109375" style="118" customWidth="1"/>
    <col min="4" max="7" width="14.28125" style="141" customWidth="1"/>
    <col min="8" max="8" width="17.00390625" style="141" customWidth="1"/>
    <col min="9" max="16384" width="14.28125" style="118" customWidth="1"/>
  </cols>
  <sheetData>
    <row r="1" spans="1:8" ht="24.75">
      <c r="A1" s="746" t="s">
        <v>360</v>
      </c>
      <c r="B1" s="747"/>
      <c r="C1" s="747"/>
      <c r="D1" s="747"/>
      <c r="E1" s="747"/>
      <c r="F1" s="747"/>
      <c r="G1" s="747"/>
      <c r="H1" s="747"/>
    </row>
    <row r="2" spans="1:8" ht="24.75">
      <c r="A2" s="746" t="s">
        <v>153</v>
      </c>
      <c r="B2" s="747"/>
      <c r="C2" s="747"/>
      <c r="D2" s="747"/>
      <c r="E2" s="747"/>
      <c r="F2" s="747"/>
      <c r="G2" s="747"/>
      <c r="H2" s="747"/>
    </row>
    <row r="3" spans="1:8" ht="24.75">
      <c r="A3" s="746" t="s">
        <v>858</v>
      </c>
      <c r="B3" s="747"/>
      <c r="C3" s="747"/>
      <c r="D3" s="747"/>
      <c r="E3" s="747"/>
      <c r="F3" s="747"/>
      <c r="G3" s="747"/>
      <c r="H3" s="747"/>
    </row>
    <row r="4" spans="1:8" ht="36.75" customHeight="1">
      <c r="A4" s="748" t="s">
        <v>134</v>
      </c>
      <c r="B4" s="737" t="s">
        <v>77</v>
      </c>
      <c r="C4" s="737" t="s">
        <v>74</v>
      </c>
      <c r="D4" s="739" t="s">
        <v>106</v>
      </c>
      <c r="E4" s="739" t="s">
        <v>154</v>
      </c>
      <c r="F4" s="739" t="s">
        <v>155</v>
      </c>
      <c r="G4" s="739" t="s">
        <v>156</v>
      </c>
      <c r="H4" s="739" t="s">
        <v>60</v>
      </c>
    </row>
    <row r="5" spans="1:8" ht="38.25" customHeight="1">
      <c r="A5" s="749"/>
      <c r="B5" s="738"/>
      <c r="C5" s="738"/>
      <c r="D5" s="740"/>
      <c r="E5" s="740"/>
      <c r="F5" s="740"/>
      <c r="G5" s="740"/>
      <c r="H5" s="740"/>
    </row>
    <row r="6" spans="1:8" ht="24.75">
      <c r="A6" s="595" t="s">
        <v>114</v>
      </c>
      <c r="B6" s="595"/>
      <c r="C6" s="595"/>
      <c r="D6" s="142"/>
      <c r="E6" s="142"/>
      <c r="F6" s="142"/>
      <c r="G6" s="142"/>
      <c r="H6" s="142"/>
    </row>
    <row r="7" spans="1:8" ht="24.75">
      <c r="A7" s="597" t="s">
        <v>135</v>
      </c>
      <c r="B7" s="598" t="s">
        <v>115</v>
      </c>
      <c r="C7" s="598" t="s">
        <v>80</v>
      </c>
      <c r="D7" s="142"/>
      <c r="E7" s="142"/>
      <c r="F7" s="142"/>
      <c r="G7" s="142"/>
      <c r="H7" s="142">
        <f aca="true" t="shared" si="0" ref="H7:H16">SUM(E7:G7)</f>
        <v>0</v>
      </c>
    </row>
    <row r="8" spans="1:8" ht="24.75">
      <c r="A8" s="597"/>
      <c r="B8" s="598" t="s">
        <v>127</v>
      </c>
      <c r="C8" s="598" t="s">
        <v>80</v>
      </c>
      <c r="D8" s="142">
        <f>'[2]สรุปรายจ่ายตามงบประมาณ '!D54+'[2]สรุปรายจ่ายตามงบประมาณ '!D61</f>
        <v>2835940</v>
      </c>
      <c r="E8" s="142">
        <f>'[2]สรุปรายจ่ายตามงบประมาณ '!E54</f>
        <v>459360</v>
      </c>
      <c r="F8" s="142">
        <f>'[2]สรุปรายจ่ายตามงบประมาณ '!E61</f>
        <v>1705639</v>
      </c>
      <c r="G8" s="142"/>
      <c r="H8" s="142">
        <f t="shared" si="0"/>
        <v>2164999</v>
      </c>
    </row>
    <row r="9" spans="1:8" ht="24.75">
      <c r="A9" s="597" t="s">
        <v>136</v>
      </c>
      <c r="B9" s="598" t="s">
        <v>128</v>
      </c>
      <c r="C9" s="598" t="s">
        <v>80</v>
      </c>
      <c r="D9" s="142">
        <f>'[2]สรุปรายจ่ายตามงบประมาณ '!D109+'[2]สรุปรายจ่ายตามงบประมาณ '!D114</f>
        <v>160900</v>
      </c>
      <c r="E9" s="142">
        <f>'[2]สรุปรายจ่ายตามงบประมาณ '!E109</f>
        <v>0</v>
      </c>
      <c r="F9" s="142">
        <f>'[2]สรุปรายจ่ายตามงบประมาณ '!E114</f>
        <v>29800</v>
      </c>
      <c r="G9" s="142"/>
      <c r="H9" s="142">
        <f t="shared" si="0"/>
        <v>29800</v>
      </c>
    </row>
    <row r="10" spans="1:8" ht="24.75">
      <c r="A10" s="597"/>
      <c r="B10" s="598" t="s">
        <v>129</v>
      </c>
      <c r="C10" s="598" t="s">
        <v>80</v>
      </c>
      <c r="D10" s="142">
        <f>'[2]สรุปรายจ่ายตามงบประมาณ '!D175+'[2]สรุปรายจ่ายตามงบประมาณ '!D182</f>
        <v>1468480</v>
      </c>
      <c r="E10" s="142">
        <f>'[2]สรุปรายจ่ายตามงบประมาณ '!E175</f>
        <v>305645</v>
      </c>
      <c r="F10" s="142">
        <f>'[2]สรุปรายจ่ายตามงบประมาณ '!E182</f>
        <v>675388</v>
      </c>
      <c r="G10" s="142"/>
      <c r="H10" s="142">
        <f t="shared" si="0"/>
        <v>981033</v>
      </c>
    </row>
    <row r="11" spans="1:8" ht="24.75">
      <c r="A11" s="597"/>
      <c r="B11" s="598" t="s">
        <v>130</v>
      </c>
      <c r="C11" s="598" t="s">
        <v>80</v>
      </c>
      <c r="D11" s="142">
        <f>'[2]สรุปรายจ่ายตามงบประมาณ '!D286+'[2]สรุปรายจ่ายตามงบประมาณ '!D289</f>
        <v>956000</v>
      </c>
      <c r="E11" s="142">
        <f>'[2]สรุปรายจ่ายตามงบประมาณ '!E286</f>
        <v>37568</v>
      </c>
      <c r="F11" s="142">
        <f>'[2]สรุปรายจ่ายตามงบประมาณ '!E289</f>
        <v>804553.36</v>
      </c>
      <c r="G11" s="142">
        <v>0</v>
      </c>
      <c r="H11" s="142">
        <f t="shared" si="0"/>
        <v>842121.36</v>
      </c>
    </row>
    <row r="12" spans="1:8" ht="24.75">
      <c r="A12" s="597"/>
      <c r="B12" s="598" t="s">
        <v>116</v>
      </c>
      <c r="C12" s="598" t="s">
        <v>80</v>
      </c>
      <c r="D12" s="142">
        <f>'[2]สรุปรายจ่ายตามงบประมาณ '!D315</f>
        <v>60000</v>
      </c>
      <c r="E12" s="142"/>
      <c r="F12" s="142">
        <f>'[2]สรุปรายจ่ายตามงบประมาณ '!E315</f>
        <v>22843.29</v>
      </c>
      <c r="G12" s="142"/>
      <c r="H12" s="142">
        <f>SUM(E12:G12)</f>
        <v>22843.29</v>
      </c>
    </row>
    <row r="13" spans="1:8" ht="24.75">
      <c r="A13" s="597" t="s">
        <v>137</v>
      </c>
      <c r="B13" s="598" t="s">
        <v>132</v>
      </c>
      <c r="C13" s="598" t="s">
        <v>80</v>
      </c>
      <c r="D13" s="142">
        <f>'[2]สรุปรายจ่ายตามงบประมาณ '!D366</f>
        <v>49000</v>
      </c>
      <c r="E13" s="142"/>
      <c r="F13" s="142">
        <f>'[2]สรุปรายจ่ายตามงบประมาณ '!E366</f>
        <v>44800</v>
      </c>
      <c r="G13" s="142"/>
      <c r="H13" s="142">
        <f>SUM(E13:G13)</f>
        <v>44800</v>
      </c>
    </row>
    <row r="14" spans="1:8" ht="24.75">
      <c r="A14" s="597"/>
      <c r="B14" s="598" t="s">
        <v>133</v>
      </c>
      <c r="C14" s="598" t="s">
        <v>80</v>
      </c>
      <c r="D14" s="142"/>
      <c r="E14" s="355"/>
      <c r="F14" s="142">
        <f>'[2]สรุปรายจ่ายตามงบประมาณ '!E291</f>
        <v>0</v>
      </c>
      <c r="G14" s="142"/>
      <c r="H14" s="142">
        <f t="shared" si="0"/>
        <v>0</v>
      </c>
    </row>
    <row r="15" spans="1:8" ht="24.75">
      <c r="A15" s="597" t="s">
        <v>138</v>
      </c>
      <c r="B15" s="598" t="s">
        <v>118</v>
      </c>
      <c r="C15" s="598" t="s">
        <v>80</v>
      </c>
      <c r="D15" s="142"/>
      <c r="E15" s="142"/>
      <c r="F15" s="355"/>
      <c r="G15" s="142"/>
      <c r="H15" s="142">
        <f t="shared" si="0"/>
        <v>0</v>
      </c>
    </row>
    <row r="16" spans="1:8" ht="24.75">
      <c r="A16" s="597" t="s">
        <v>139</v>
      </c>
      <c r="B16" s="598" t="s">
        <v>117</v>
      </c>
      <c r="C16" s="598" t="s">
        <v>80</v>
      </c>
      <c r="D16" s="142">
        <f>'[2]สรุปรายจ่ายตามงบประมาณ '!D338</f>
        <v>1610000</v>
      </c>
      <c r="E16" s="142"/>
      <c r="F16" s="142">
        <f>'[2]สรุปรายจ่ายตามงบประมาณ '!E338</f>
        <v>1496000</v>
      </c>
      <c r="G16" s="142">
        <v>0</v>
      </c>
      <c r="H16" s="142">
        <f t="shared" si="0"/>
        <v>1496000</v>
      </c>
    </row>
    <row r="17" spans="1:8" ht="24.75">
      <c r="A17" s="743" t="s">
        <v>60</v>
      </c>
      <c r="B17" s="744"/>
      <c r="C17" s="745"/>
      <c r="D17" s="119">
        <f>SUM(D7:D16)</f>
        <v>7140320</v>
      </c>
      <c r="E17" s="119">
        <f>SUM(E7:E16)</f>
        <v>802573</v>
      </c>
      <c r="F17" s="119">
        <f>SUM(F7:F16)</f>
        <v>4779023.65</v>
      </c>
      <c r="G17" s="119">
        <f>SUM(G7:G16)</f>
        <v>0</v>
      </c>
      <c r="H17" s="119">
        <f>SUM(H7:H16)</f>
        <v>5581596.65</v>
      </c>
    </row>
    <row r="19" spans="1:8" ht="24.75">
      <c r="A19" s="741" t="s">
        <v>686</v>
      </c>
      <c r="B19" s="741"/>
      <c r="C19" s="741"/>
      <c r="D19" s="742"/>
      <c r="E19" s="742"/>
      <c r="F19" s="742"/>
      <c r="G19" s="741"/>
      <c r="H19" s="741"/>
    </row>
  </sheetData>
  <sheetProtection/>
  <mergeCells count="13">
    <mergeCell ref="C4:C5"/>
    <mergeCell ref="D4:D5"/>
    <mergeCell ref="E4:E5"/>
    <mergeCell ref="A19:H19"/>
    <mergeCell ref="F4:F5"/>
    <mergeCell ref="G4:G5"/>
    <mergeCell ref="H4:H5"/>
    <mergeCell ref="A17:C17"/>
    <mergeCell ref="A1:H1"/>
    <mergeCell ref="A2:H2"/>
    <mergeCell ref="A3:H3"/>
    <mergeCell ref="A4:A5"/>
    <mergeCell ref="B4:B5"/>
  </mergeCells>
  <printOptions horizontalCentered="1"/>
  <pageMargins left="0.23" right="0" top="0.4" bottom="0" header="0.31496062992125984" footer="0.31496062992125984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9" sqref="K9"/>
    </sheetView>
  </sheetViews>
  <sheetFormatPr defaultColWidth="15.00390625" defaultRowHeight="15"/>
  <cols>
    <col min="1" max="1" width="12.8515625" style="118" customWidth="1"/>
    <col min="2" max="2" width="18.8515625" style="118" customWidth="1"/>
    <col min="3" max="3" width="15.00390625" style="118" customWidth="1"/>
    <col min="4" max="7" width="15.00390625" style="141" customWidth="1"/>
    <col min="8" max="8" width="17.00390625" style="141" customWidth="1"/>
    <col min="9" max="16384" width="15.00390625" style="118" customWidth="1"/>
  </cols>
  <sheetData>
    <row r="1" spans="1:8" ht="24.75">
      <c r="A1" s="746" t="s">
        <v>360</v>
      </c>
      <c r="B1" s="747"/>
      <c r="C1" s="747"/>
      <c r="D1" s="747"/>
      <c r="E1" s="747"/>
      <c r="F1" s="747"/>
      <c r="G1" s="747"/>
      <c r="H1" s="747"/>
    </row>
    <row r="2" spans="1:8" ht="24.75">
      <c r="A2" s="746" t="s">
        <v>171</v>
      </c>
      <c r="B2" s="747"/>
      <c r="C2" s="747"/>
      <c r="D2" s="747"/>
      <c r="E2" s="747"/>
      <c r="F2" s="747"/>
      <c r="G2" s="747"/>
      <c r="H2" s="747"/>
    </row>
    <row r="3" spans="1:8" ht="24.75">
      <c r="A3" s="746" t="s">
        <v>856</v>
      </c>
      <c r="B3" s="747"/>
      <c r="C3" s="747"/>
      <c r="D3" s="747"/>
      <c r="E3" s="747"/>
      <c r="F3" s="747"/>
      <c r="G3" s="747"/>
      <c r="H3" s="747"/>
    </row>
    <row r="5" spans="1:8" ht="36.75" customHeight="1">
      <c r="A5" s="748" t="s">
        <v>134</v>
      </c>
      <c r="B5" s="737" t="s">
        <v>77</v>
      </c>
      <c r="C5" s="737" t="s">
        <v>74</v>
      </c>
      <c r="D5" s="739" t="s">
        <v>106</v>
      </c>
      <c r="E5" s="739" t="s">
        <v>172</v>
      </c>
      <c r="F5" s="739" t="s">
        <v>173</v>
      </c>
      <c r="G5" s="739" t="s">
        <v>174</v>
      </c>
      <c r="H5" s="739" t="s">
        <v>60</v>
      </c>
    </row>
    <row r="6" spans="1:8" ht="63" customHeight="1">
      <c r="A6" s="749"/>
      <c r="B6" s="738"/>
      <c r="C6" s="738"/>
      <c r="D6" s="740"/>
      <c r="E6" s="740"/>
      <c r="F6" s="740"/>
      <c r="G6" s="740"/>
      <c r="H6" s="740"/>
    </row>
    <row r="7" spans="1:8" ht="24.75">
      <c r="A7" s="595" t="s">
        <v>114</v>
      </c>
      <c r="B7" s="595"/>
      <c r="C7" s="595"/>
      <c r="D7" s="142"/>
      <c r="E7" s="142"/>
      <c r="F7" s="142"/>
      <c r="G7" s="142"/>
      <c r="H7" s="142"/>
    </row>
    <row r="8" spans="1:8" ht="24.75">
      <c r="A8" s="597" t="s">
        <v>135</v>
      </c>
      <c r="B8" s="598" t="s">
        <v>115</v>
      </c>
      <c r="C8" s="598" t="s">
        <v>80</v>
      </c>
      <c r="D8" s="142">
        <v>0</v>
      </c>
      <c r="E8" s="142"/>
      <c r="F8" s="142"/>
      <c r="G8" s="142"/>
      <c r="H8" s="142">
        <f aca="true" t="shared" si="0" ref="H8:H17">SUM(E8:G8)</f>
        <v>0</v>
      </c>
    </row>
    <row r="9" spans="1:8" ht="24.75">
      <c r="A9" s="597"/>
      <c r="B9" s="598" t="s">
        <v>127</v>
      </c>
      <c r="C9" s="598" t="s">
        <v>80</v>
      </c>
      <c r="D9" s="142">
        <f>'[2]สรุปรายจ่ายตามงบประมาณ '!D67</f>
        <v>323300</v>
      </c>
      <c r="E9" s="142">
        <f>'[2]สรุปรายจ่ายตามงบประมาณ '!E67</f>
        <v>241440</v>
      </c>
      <c r="F9" s="142">
        <v>0</v>
      </c>
      <c r="G9" s="142"/>
      <c r="H9" s="142">
        <f t="shared" si="0"/>
        <v>241440</v>
      </c>
    </row>
    <row r="10" spans="1:8" ht="24.75">
      <c r="A10" s="597" t="s">
        <v>136</v>
      </c>
      <c r="B10" s="598" t="s">
        <v>128</v>
      </c>
      <c r="C10" s="598" t="s">
        <v>80</v>
      </c>
      <c r="D10" s="142">
        <f>'[2]สรุปรายจ่ายตามงบประมาณ '!D120</f>
        <v>94600</v>
      </c>
      <c r="E10" s="142">
        <f>'[2]สรุปรายจ่ายตามงบประมาณ '!E120</f>
        <v>0</v>
      </c>
      <c r="F10" s="142"/>
      <c r="G10" s="142"/>
      <c r="H10" s="142">
        <f t="shared" si="0"/>
        <v>0</v>
      </c>
    </row>
    <row r="11" spans="1:8" ht="24.75">
      <c r="A11" s="597"/>
      <c r="B11" s="598" t="s">
        <v>129</v>
      </c>
      <c r="C11" s="598" t="s">
        <v>80</v>
      </c>
      <c r="D11" s="142">
        <f>'[2]สรุปรายจ่ายตามงบประมาณ '!D222</f>
        <v>138360</v>
      </c>
      <c r="E11" s="142">
        <f>'[2]สรุปรายจ่ายตามงบประมาณ '!E222</f>
        <v>102012</v>
      </c>
      <c r="F11" s="142"/>
      <c r="G11" s="142"/>
      <c r="H11" s="142">
        <f t="shared" si="0"/>
        <v>102012</v>
      </c>
    </row>
    <row r="12" spans="1:8" ht="24.75">
      <c r="A12" s="597"/>
      <c r="B12" s="598" t="s">
        <v>130</v>
      </c>
      <c r="C12" s="598" t="s">
        <v>80</v>
      </c>
      <c r="D12" s="142">
        <f>'[2]สรุปรายจ่ายตามงบประมาณ '!D294</f>
        <v>71640</v>
      </c>
      <c r="E12" s="142">
        <f>'[2]สรุปรายจ่ายตามงบประมาณ '!E294</f>
        <v>50250</v>
      </c>
      <c r="F12" s="142"/>
      <c r="G12" s="142"/>
      <c r="H12" s="142">
        <f t="shared" si="0"/>
        <v>50250</v>
      </c>
    </row>
    <row r="13" spans="1:8" ht="24.75">
      <c r="A13" s="597"/>
      <c r="B13" s="598" t="s">
        <v>116</v>
      </c>
      <c r="C13" s="598" t="s">
        <v>80</v>
      </c>
      <c r="D13" s="142">
        <f>'[2]สรุปรายจ่ายตามงบประมาณ '!E295</f>
        <v>0</v>
      </c>
      <c r="E13" s="142">
        <f>'[2]สรุปรายจ่ายตามงบประมาณ '!E295</f>
        <v>0</v>
      </c>
      <c r="F13" s="142"/>
      <c r="G13" s="142"/>
      <c r="H13" s="142">
        <f t="shared" si="0"/>
        <v>0</v>
      </c>
    </row>
    <row r="14" spans="1:8" ht="24.75">
      <c r="A14" s="597" t="s">
        <v>137</v>
      </c>
      <c r="B14" s="598" t="s">
        <v>132</v>
      </c>
      <c r="C14" s="598" t="s">
        <v>80</v>
      </c>
      <c r="D14" s="142">
        <f>'[2]สรุปรายจ่ายตามงบประมาณ '!D371</f>
        <v>30500</v>
      </c>
      <c r="E14" s="142">
        <f>'[2]สรุปรายจ่ายตามงบประมาณ '!E371</f>
        <v>27900</v>
      </c>
      <c r="F14" s="142"/>
      <c r="G14" s="142"/>
      <c r="H14" s="142">
        <f t="shared" si="0"/>
        <v>27900</v>
      </c>
    </row>
    <row r="15" spans="1:8" ht="24.75">
      <c r="A15" s="597"/>
      <c r="B15" s="598" t="s">
        <v>133</v>
      </c>
      <c r="C15" s="598" t="s">
        <v>80</v>
      </c>
      <c r="D15" s="142">
        <v>0</v>
      </c>
      <c r="E15" s="142"/>
      <c r="F15" s="142"/>
      <c r="G15" s="142"/>
      <c r="H15" s="142"/>
    </row>
    <row r="16" spans="1:8" ht="24.75">
      <c r="A16" s="597" t="s">
        <v>138</v>
      </c>
      <c r="B16" s="598" t="s">
        <v>118</v>
      </c>
      <c r="C16" s="598" t="s">
        <v>80</v>
      </c>
      <c r="D16" s="142">
        <v>0</v>
      </c>
      <c r="E16" s="142"/>
      <c r="F16" s="142"/>
      <c r="G16" s="142"/>
      <c r="H16" s="142"/>
    </row>
    <row r="17" spans="1:8" ht="24.75">
      <c r="A17" s="597" t="s">
        <v>139</v>
      </c>
      <c r="B17" s="598" t="s">
        <v>117</v>
      </c>
      <c r="C17" s="598" t="s">
        <v>80</v>
      </c>
      <c r="D17" s="142">
        <f>'[2]สรุปรายจ่ายตามงบประมาณ '!D344</f>
        <v>340000</v>
      </c>
      <c r="E17" s="142">
        <f>'[2]สรุปรายจ่ายตามงบประมาณ '!E344</f>
        <v>340000</v>
      </c>
      <c r="F17" s="142"/>
      <c r="G17" s="142"/>
      <c r="H17" s="142">
        <f t="shared" si="0"/>
        <v>340000</v>
      </c>
    </row>
    <row r="18" spans="1:8" ht="24.75">
      <c r="A18" s="743" t="s">
        <v>60</v>
      </c>
      <c r="B18" s="744"/>
      <c r="C18" s="745"/>
      <c r="D18" s="119">
        <f>SUM(D8:D17)</f>
        <v>998400</v>
      </c>
      <c r="E18" s="119">
        <f>SUM(E8:E17)</f>
        <v>761602</v>
      </c>
      <c r="F18" s="119">
        <f>SUM(F8:F17)</f>
        <v>0</v>
      </c>
      <c r="G18" s="119">
        <f>SUM(G8:G17)</f>
        <v>0</v>
      </c>
      <c r="H18" s="119">
        <f>SUM(H8:H17)</f>
        <v>761602</v>
      </c>
    </row>
    <row r="20" spans="1:8" ht="24.75">
      <c r="A20" s="741" t="s">
        <v>686</v>
      </c>
      <c r="B20" s="741"/>
      <c r="C20" s="741"/>
      <c r="D20" s="742"/>
      <c r="E20" s="742"/>
      <c r="F20" s="742"/>
      <c r="G20" s="741"/>
      <c r="H20" s="741"/>
    </row>
  </sheetData>
  <sheetProtection/>
  <mergeCells count="13">
    <mergeCell ref="C5:C6"/>
    <mergeCell ref="D5:D6"/>
    <mergeCell ref="E5:E6"/>
    <mergeCell ref="A20:H20"/>
    <mergeCell ref="F5:F6"/>
    <mergeCell ref="H5:H6"/>
    <mergeCell ref="A18:C18"/>
    <mergeCell ref="G5:G6"/>
    <mergeCell ref="A1:H1"/>
    <mergeCell ref="A2:H2"/>
    <mergeCell ref="A3:H3"/>
    <mergeCell ref="A5:A6"/>
    <mergeCell ref="B5:B6"/>
  </mergeCells>
  <printOptions horizontalCentered="1"/>
  <pageMargins left="0.7086614173228347" right="0" top="0.28" bottom="0" header="0.2" footer="0.2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12.7109375" style="118" customWidth="1"/>
    <col min="2" max="2" width="20.421875" style="118" customWidth="1"/>
    <col min="3" max="3" width="24.421875" style="118" customWidth="1"/>
    <col min="4" max="4" width="15.00390625" style="141" customWidth="1"/>
    <col min="5" max="5" width="17.00390625" style="141" customWidth="1"/>
    <col min="6" max="6" width="19.00390625" style="141" customWidth="1"/>
    <col min="7" max="7" width="15.7109375" style="141" customWidth="1"/>
    <col min="8" max="16384" width="9.00390625" style="118" customWidth="1"/>
  </cols>
  <sheetData>
    <row r="1" spans="1:7" ht="24.75">
      <c r="A1" s="746" t="s">
        <v>360</v>
      </c>
      <c r="B1" s="747"/>
      <c r="C1" s="747"/>
      <c r="D1" s="747"/>
      <c r="E1" s="747"/>
      <c r="F1" s="747"/>
      <c r="G1" s="747"/>
    </row>
    <row r="2" spans="1:7" ht="24.75">
      <c r="A2" s="746" t="s">
        <v>157</v>
      </c>
      <c r="B2" s="747"/>
      <c r="C2" s="747"/>
      <c r="D2" s="747"/>
      <c r="E2" s="747"/>
      <c r="F2" s="747"/>
      <c r="G2" s="747"/>
    </row>
    <row r="3" spans="1:7" ht="24.75">
      <c r="A3" s="746" t="s">
        <v>858</v>
      </c>
      <c r="B3" s="747"/>
      <c r="C3" s="747"/>
      <c r="D3" s="747"/>
      <c r="E3" s="747"/>
      <c r="F3" s="747"/>
      <c r="G3" s="747"/>
    </row>
    <row r="5" spans="1:7" ht="36.75" customHeight="1">
      <c r="A5" s="748" t="s">
        <v>134</v>
      </c>
      <c r="B5" s="737" t="s">
        <v>77</v>
      </c>
      <c r="C5" s="737" t="s">
        <v>74</v>
      </c>
      <c r="D5" s="739" t="s">
        <v>106</v>
      </c>
      <c r="E5" s="739" t="s">
        <v>158</v>
      </c>
      <c r="F5" s="739" t="s">
        <v>159</v>
      </c>
      <c r="G5" s="739" t="s">
        <v>60</v>
      </c>
    </row>
    <row r="6" spans="1:7" ht="45.75" customHeight="1">
      <c r="A6" s="749"/>
      <c r="B6" s="738"/>
      <c r="C6" s="738"/>
      <c r="D6" s="740"/>
      <c r="E6" s="740"/>
      <c r="F6" s="740"/>
      <c r="G6" s="740"/>
    </row>
    <row r="7" spans="1:7" ht="24.75">
      <c r="A7" s="595" t="s">
        <v>114</v>
      </c>
      <c r="B7" s="595"/>
      <c r="C7" s="595"/>
      <c r="D7" s="142"/>
      <c r="E7" s="142"/>
      <c r="F7" s="142"/>
      <c r="G7" s="142"/>
    </row>
    <row r="8" spans="1:7" ht="24.75">
      <c r="A8" s="597" t="s">
        <v>135</v>
      </c>
      <c r="B8" s="598" t="s">
        <v>115</v>
      </c>
      <c r="C8" s="598" t="s">
        <v>80</v>
      </c>
      <c r="D8" s="142"/>
      <c r="E8" s="142"/>
      <c r="F8" s="142"/>
      <c r="G8" s="142">
        <f aca="true" t="shared" si="0" ref="G8:G16">SUM(E8:F8)</f>
        <v>0</v>
      </c>
    </row>
    <row r="9" spans="1:7" ht="24.75">
      <c r="A9" s="597"/>
      <c r="B9" s="598" t="s">
        <v>127</v>
      </c>
      <c r="C9" s="598" t="s">
        <v>80</v>
      </c>
      <c r="D9" s="142">
        <f>'[2]สรุปรายจ่ายตามงบประมาณ '!D74</f>
        <v>946980</v>
      </c>
      <c r="E9" s="142">
        <f>'[2]สรุปรายจ่ายตามงบประมาณ '!E74</f>
        <v>935100</v>
      </c>
      <c r="F9" s="142"/>
      <c r="G9" s="142">
        <f t="shared" si="0"/>
        <v>935100</v>
      </c>
    </row>
    <row r="10" spans="1:7" ht="24.75">
      <c r="A10" s="597" t="s">
        <v>136</v>
      </c>
      <c r="B10" s="598" t="s">
        <v>128</v>
      </c>
      <c r="C10" s="598" t="s">
        <v>80</v>
      </c>
      <c r="D10" s="142">
        <f>'[2]สรุปรายจ่ายตามงบประมาณ '!D126</f>
        <v>90780</v>
      </c>
      <c r="E10" s="142">
        <f>'[2]สรุปรายจ่ายตามงบประมาณ '!E126</f>
        <v>36000</v>
      </c>
      <c r="F10" s="142"/>
      <c r="G10" s="142">
        <f t="shared" si="0"/>
        <v>36000</v>
      </c>
    </row>
    <row r="11" spans="1:7" ht="24.75">
      <c r="A11" s="597"/>
      <c r="B11" s="598" t="s">
        <v>129</v>
      </c>
      <c r="C11" s="598" t="s">
        <v>80</v>
      </c>
      <c r="D11" s="142">
        <f>'[2]สรุปรายจ่ายตามงบประมาณ '!D229+'[2]สรุปรายจ่ายตามงบประมาณ '!D233</f>
        <v>105500</v>
      </c>
      <c r="E11" s="142">
        <f>'[2]สรุปรายจ่ายตามงบประมาณ '!E229</f>
        <v>20672</v>
      </c>
      <c r="F11" s="142"/>
      <c r="G11" s="142">
        <f t="shared" si="0"/>
        <v>20672</v>
      </c>
    </row>
    <row r="12" spans="1:7" ht="24.75">
      <c r="A12" s="597"/>
      <c r="B12" s="598" t="s">
        <v>130</v>
      </c>
      <c r="C12" s="598" t="s">
        <v>80</v>
      </c>
      <c r="D12" s="142">
        <f>'[2]สรุปรายจ่ายตามงบประมาณ '!D298</f>
        <v>30000</v>
      </c>
      <c r="E12" s="142">
        <f>'[2]สรุปรายจ่ายตามงบประมาณ '!E298</f>
        <v>10000</v>
      </c>
      <c r="F12" s="142"/>
      <c r="G12" s="142">
        <f t="shared" si="0"/>
        <v>10000</v>
      </c>
    </row>
    <row r="13" spans="1:7" ht="24.75">
      <c r="A13" s="597"/>
      <c r="B13" s="598" t="s">
        <v>116</v>
      </c>
      <c r="C13" s="598" t="s">
        <v>80</v>
      </c>
      <c r="D13" s="142">
        <f>'[2]สรุปรายจ่ายตามงบประมาณ '!D299</f>
        <v>0</v>
      </c>
      <c r="E13" s="142">
        <f>'[2]สรุปรายจ่ายตามงบประมาณ '!E299</f>
        <v>0</v>
      </c>
      <c r="F13" s="142"/>
      <c r="G13" s="142">
        <f t="shared" si="0"/>
        <v>0</v>
      </c>
    </row>
    <row r="14" spans="1:7" ht="24.75">
      <c r="A14" s="597" t="s">
        <v>137</v>
      </c>
      <c r="B14" s="598" t="s">
        <v>132</v>
      </c>
      <c r="C14" s="598" t="s">
        <v>80</v>
      </c>
      <c r="D14" s="142"/>
      <c r="E14" s="142">
        <f>'[2]สรุปรายจ่ายตามงบประมาณ '!E300</f>
        <v>0</v>
      </c>
      <c r="F14" s="142"/>
      <c r="G14" s="142">
        <f t="shared" si="0"/>
        <v>0</v>
      </c>
    </row>
    <row r="15" spans="1:7" ht="24.75">
      <c r="A15" s="597"/>
      <c r="B15" s="598" t="s">
        <v>133</v>
      </c>
      <c r="C15" s="598" t="s">
        <v>80</v>
      </c>
      <c r="D15" s="142">
        <f>'[2]สรุปรายจ่ายตามงบประมาณ '!D301</f>
        <v>0</v>
      </c>
      <c r="E15" s="142">
        <f>'[2]สรุปรายจ่ายตามงบประมาณ '!E301</f>
        <v>0</v>
      </c>
      <c r="F15" s="142"/>
      <c r="G15" s="142">
        <f t="shared" si="0"/>
        <v>0</v>
      </c>
    </row>
    <row r="16" spans="1:7" ht="24.75">
      <c r="A16" s="597" t="s">
        <v>138</v>
      </c>
      <c r="B16" s="598" t="s">
        <v>118</v>
      </c>
      <c r="C16" s="598" t="s">
        <v>80</v>
      </c>
      <c r="D16" s="142"/>
      <c r="E16" s="142">
        <f>'[2]สรุปรายจ่ายตามงบประมาณ '!E302</f>
        <v>0</v>
      </c>
      <c r="F16" s="142"/>
      <c r="G16" s="142">
        <f t="shared" si="0"/>
        <v>0</v>
      </c>
    </row>
    <row r="17" spans="1:7" ht="24.75">
      <c r="A17" s="597" t="s">
        <v>139</v>
      </c>
      <c r="B17" s="598" t="s">
        <v>117</v>
      </c>
      <c r="C17" s="598" t="s">
        <v>80</v>
      </c>
      <c r="D17" s="142">
        <v>0</v>
      </c>
      <c r="E17" s="142"/>
      <c r="F17" s="142"/>
      <c r="G17" s="142"/>
    </row>
    <row r="18" spans="1:7" ht="24.75">
      <c r="A18" s="743" t="s">
        <v>60</v>
      </c>
      <c r="B18" s="744"/>
      <c r="C18" s="745"/>
      <c r="D18" s="119">
        <f>SUM(D8:D17)</f>
        <v>1173260</v>
      </c>
      <c r="E18" s="119">
        <f>SUM(E8:E17)</f>
        <v>1001772</v>
      </c>
      <c r="F18" s="119"/>
      <c r="G18" s="119">
        <f>SUM(G8:G17)</f>
        <v>1001772</v>
      </c>
    </row>
    <row r="20" spans="1:8" ht="24.75">
      <c r="A20" s="741" t="s">
        <v>686</v>
      </c>
      <c r="B20" s="741"/>
      <c r="C20" s="741"/>
      <c r="D20" s="742"/>
      <c r="E20" s="742"/>
      <c r="F20" s="742"/>
      <c r="G20" s="741"/>
      <c r="H20" s="741"/>
    </row>
  </sheetData>
  <sheetProtection/>
  <mergeCells count="12">
    <mergeCell ref="A18:C18"/>
    <mergeCell ref="A20:H20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" right="0" top="0.38" bottom="0" header="0.31496062992125984" footer="0.17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2.7109375" style="118" customWidth="1"/>
    <col min="2" max="2" width="18.421875" style="118" customWidth="1"/>
    <col min="3" max="3" width="12.7109375" style="118" customWidth="1"/>
    <col min="4" max="4" width="15.7109375" style="141" customWidth="1"/>
    <col min="5" max="6" width="15.28125" style="141" customWidth="1"/>
    <col min="7" max="8" width="13.7109375" style="141" customWidth="1"/>
    <col min="9" max="9" width="15.8515625" style="141" customWidth="1"/>
    <col min="10" max="16384" width="9.00390625" style="118" customWidth="1"/>
  </cols>
  <sheetData>
    <row r="1" spans="1:9" ht="24.75">
      <c r="A1" s="746" t="s">
        <v>360</v>
      </c>
      <c r="B1" s="746"/>
      <c r="C1" s="746"/>
      <c r="D1" s="746"/>
      <c r="E1" s="746"/>
      <c r="F1" s="746"/>
      <c r="G1" s="746"/>
      <c r="H1" s="746"/>
      <c r="I1" s="746"/>
    </row>
    <row r="2" spans="1:9" ht="24.75">
      <c r="A2" s="746" t="s">
        <v>160</v>
      </c>
      <c r="B2" s="746"/>
      <c r="C2" s="746"/>
      <c r="D2" s="746"/>
      <c r="E2" s="746"/>
      <c r="F2" s="746"/>
      <c r="G2" s="746"/>
      <c r="H2" s="746"/>
      <c r="I2" s="746"/>
    </row>
    <row r="3" spans="1:9" ht="24.75">
      <c r="A3" s="746" t="s">
        <v>859</v>
      </c>
      <c r="B3" s="746"/>
      <c r="C3" s="746"/>
      <c r="D3" s="746"/>
      <c r="E3" s="746"/>
      <c r="F3" s="746"/>
      <c r="G3" s="746"/>
      <c r="H3" s="746"/>
      <c r="I3" s="746"/>
    </row>
    <row r="5" spans="1:9" ht="32.25" customHeight="1">
      <c r="A5" s="748" t="s">
        <v>134</v>
      </c>
      <c r="B5" s="737" t="s">
        <v>77</v>
      </c>
      <c r="C5" s="737" t="s">
        <v>74</v>
      </c>
      <c r="D5" s="739" t="s">
        <v>106</v>
      </c>
      <c r="E5" s="739" t="s">
        <v>161</v>
      </c>
      <c r="F5" s="739" t="s">
        <v>162</v>
      </c>
      <c r="G5" s="739" t="s">
        <v>503</v>
      </c>
      <c r="H5" s="750" t="s">
        <v>504</v>
      </c>
      <c r="I5" s="739" t="s">
        <v>60</v>
      </c>
    </row>
    <row r="6" spans="1:9" ht="44.25" customHeight="1">
      <c r="A6" s="749"/>
      <c r="B6" s="738"/>
      <c r="C6" s="738"/>
      <c r="D6" s="740"/>
      <c r="E6" s="740"/>
      <c r="F6" s="740"/>
      <c r="G6" s="740"/>
      <c r="H6" s="751"/>
      <c r="I6" s="740"/>
    </row>
    <row r="7" spans="1:9" ht="24.75">
      <c r="A7" s="595" t="s">
        <v>114</v>
      </c>
      <c r="B7" s="595"/>
      <c r="C7" s="595"/>
      <c r="D7" s="142"/>
      <c r="E7" s="142"/>
      <c r="F7" s="142"/>
      <c r="G7" s="142"/>
      <c r="H7" s="142"/>
      <c r="I7" s="142"/>
    </row>
    <row r="8" spans="1:9" ht="24.75">
      <c r="A8" s="597" t="s">
        <v>135</v>
      </c>
      <c r="B8" s="598" t="s">
        <v>483</v>
      </c>
      <c r="C8" s="598" t="s">
        <v>80</v>
      </c>
      <c r="D8" s="142"/>
      <c r="E8" s="142"/>
      <c r="F8" s="142"/>
      <c r="G8" s="142"/>
      <c r="H8" s="142"/>
      <c r="I8" s="142">
        <f aca="true" t="shared" si="0" ref="I8:I17">SUM(E8:H8)</f>
        <v>0</v>
      </c>
    </row>
    <row r="9" spans="1:9" ht="24.75">
      <c r="A9" s="597"/>
      <c r="B9" s="598" t="s">
        <v>127</v>
      </c>
      <c r="C9" s="598" t="s">
        <v>80</v>
      </c>
      <c r="D9" s="142">
        <f>'[2]สรุปรายจ่ายตามงบประมาณ '!D48</f>
        <v>980500</v>
      </c>
      <c r="E9" s="142">
        <f>'[2]สรุปรายจ่ายตามงบประมาณ '!E48</f>
        <v>834964</v>
      </c>
      <c r="F9" s="142"/>
      <c r="G9" s="142"/>
      <c r="H9" s="142"/>
      <c r="I9" s="142">
        <f t="shared" si="0"/>
        <v>834964</v>
      </c>
    </row>
    <row r="10" spans="1:9" ht="24.75">
      <c r="A10" s="597" t="s">
        <v>136</v>
      </c>
      <c r="B10" s="598" t="s">
        <v>128</v>
      </c>
      <c r="C10" s="598" t="s">
        <v>80</v>
      </c>
      <c r="D10" s="142">
        <f>'[2]สรุปรายจ่ายตามงบประมาณ '!D103</f>
        <v>142800</v>
      </c>
      <c r="E10" s="142">
        <f>'[2]สรุปรายจ่ายตามงบประมาณ '!E103</f>
        <v>39000</v>
      </c>
      <c r="F10" s="142"/>
      <c r="G10" s="142"/>
      <c r="H10" s="142"/>
      <c r="I10" s="142">
        <f t="shared" si="0"/>
        <v>39000</v>
      </c>
    </row>
    <row r="11" spans="1:9" ht="24.75">
      <c r="A11" s="597"/>
      <c r="B11" s="598" t="s">
        <v>129</v>
      </c>
      <c r="C11" s="598" t="s">
        <v>80</v>
      </c>
      <c r="D11" s="142">
        <f>'[2]สรุปรายจ่ายตามงบประมาณ '!D198+'[2]สรุปรายจ่ายตามงบประมาณ '!D202+'[2]สรุปรายจ่ายตามงบประมาณ '!D206+'[2]สรุปรายจ่ายตามงบประมาณ '!D212</f>
        <v>1482000</v>
      </c>
      <c r="E11" s="142">
        <f>'[2]สรุปรายจ่ายตามงบประมาณ '!E198</f>
        <v>29000</v>
      </c>
      <c r="F11" s="142">
        <f>'[2]สรุปรายจ่ายตามงบประมาณ '!E202</f>
        <v>497000</v>
      </c>
      <c r="G11" s="142">
        <f>'[2]สรุปรายจ่ายตามงบประมาณ '!E206</f>
        <v>20200</v>
      </c>
      <c r="H11" s="142">
        <f>'[2]สรุปรายจ่ายตามงบประมาณ '!E212</f>
        <v>226161</v>
      </c>
      <c r="I11" s="142">
        <f t="shared" si="0"/>
        <v>772361</v>
      </c>
    </row>
    <row r="12" spans="1:9" ht="24.75">
      <c r="A12" s="597"/>
      <c r="B12" s="598" t="s">
        <v>130</v>
      </c>
      <c r="C12" s="598" t="s">
        <v>80</v>
      </c>
      <c r="D12" s="142">
        <f>'[2]สรุปรายจ่ายตามงบประมาณ '!D277+'[2]สรุปรายจ่ายตามงบประมาณ '!D280</f>
        <v>230000</v>
      </c>
      <c r="E12" s="142">
        <f>'[2]สรุปรายจ่ายตามงบประมาณ '!E277</f>
        <v>76583.8</v>
      </c>
      <c r="F12" s="142">
        <f>'[2]สรุปรายจ่ายตามงบประมาณ '!E280</f>
        <v>50788.85</v>
      </c>
      <c r="G12" s="142"/>
      <c r="H12" s="142"/>
      <c r="I12" s="142">
        <f t="shared" si="0"/>
        <v>127372.65</v>
      </c>
    </row>
    <row r="13" spans="1:9" ht="24.75">
      <c r="A13" s="597"/>
      <c r="B13" s="598" t="s">
        <v>116</v>
      </c>
      <c r="C13" s="598" t="s">
        <v>80</v>
      </c>
      <c r="D13" s="142">
        <v>0</v>
      </c>
      <c r="E13" s="142">
        <v>0</v>
      </c>
      <c r="F13" s="142">
        <f>'[2]สรุปรายจ่ายตามงบประมาณ '!E281</f>
        <v>0</v>
      </c>
      <c r="G13" s="142"/>
      <c r="H13" s="142"/>
      <c r="I13" s="142">
        <f t="shared" si="0"/>
        <v>0</v>
      </c>
    </row>
    <row r="14" spans="1:9" ht="24.75">
      <c r="A14" s="597" t="s">
        <v>137</v>
      </c>
      <c r="B14" s="598" t="s">
        <v>132</v>
      </c>
      <c r="C14" s="598" t="s">
        <v>80</v>
      </c>
      <c r="D14" s="142">
        <f>'[2]สรุปรายจ่ายตามงบประมาณ '!D375+'[2]สรุปรายจ่ายตามงบประมาณ '!D384+'[2]สรุปรายจ่ายตามงบประมาณ '!D387</f>
        <v>146800</v>
      </c>
      <c r="E14" s="142">
        <v>104660</v>
      </c>
      <c r="F14" s="142">
        <v>0</v>
      </c>
      <c r="G14" s="142"/>
      <c r="H14" s="142"/>
      <c r="I14" s="142">
        <f t="shared" si="0"/>
        <v>104660</v>
      </c>
    </row>
    <row r="15" spans="1:9" ht="24.75">
      <c r="A15" s="597"/>
      <c r="B15" s="598" t="s">
        <v>133</v>
      </c>
      <c r="C15" s="598" t="s">
        <v>80</v>
      </c>
      <c r="D15" s="142">
        <f>'[2]สรุปรายจ่ายตามงบประมาณ '!D416</f>
        <v>4320000</v>
      </c>
      <c r="E15" s="142">
        <f>'[2]สรุปรายจ่ายตามงบประมาณ '!E385+'[2]สรุปรายจ่ายตามงบประมาณ '!E379</f>
        <v>0</v>
      </c>
      <c r="F15" s="142">
        <f>'[2]สรุปรายจ่ายตามงบประมาณ '!E420</f>
        <v>2535700</v>
      </c>
      <c r="G15" s="142"/>
      <c r="H15" s="142"/>
      <c r="I15" s="142">
        <f t="shared" si="0"/>
        <v>2535700</v>
      </c>
    </row>
    <row r="16" spans="1:9" ht="24.75">
      <c r="A16" s="597" t="s">
        <v>138</v>
      </c>
      <c r="B16" s="598" t="s">
        <v>118</v>
      </c>
      <c r="C16" s="598" t="s">
        <v>80</v>
      </c>
      <c r="D16" s="142"/>
      <c r="E16" s="142"/>
      <c r="F16" s="142"/>
      <c r="G16" s="142"/>
      <c r="H16" s="142"/>
      <c r="I16" s="142">
        <f t="shared" si="0"/>
        <v>0</v>
      </c>
    </row>
    <row r="17" spans="1:9" ht="24.75">
      <c r="A17" s="597" t="s">
        <v>139</v>
      </c>
      <c r="B17" s="598" t="s">
        <v>117</v>
      </c>
      <c r="C17" s="598" t="s">
        <v>80</v>
      </c>
      <c r="D17" s="142"/>
      <c r="E17" s="142"/>
      <c r="F17" s="142"/>
      <c r="G17" s="142"/>
      <c r="H17" s="142"/>
      <c r="I17" s="142">
        <f t="shared" si="0"/>
        <v>0</v>
      </c>
    </row>
    <row r="18" spans="1:9" ht="24.75">
      <c r="A18" s="743" t="s">
        <v>60</v>
      </c>
      <c r="B18" s="744"/>
      <c r="C18" s="745"/>
      <c r="D18" s="119">
        <f aca="true" t="shared" si="1" ref="D18:I18">SUM(D8:D17)</f>
        <v>7302100</v>
      </c>
      <c r="E18" s="119">
        <f t="shared" si="1"/>
        <v>1084207.8</v>
      </c>
      <c r="F18" s="119">
        <f t="shared" si="1"/>
        <v>3083488.85</v>
      </c>
      <c r="G18" s="119">
        <f t="shared" si="1"/>
        <v>20200</v>
      </c>
      <c r="H18" s="119">
        <f t="shared" si="1"/>
        <v>226161</v>
      </c>
      <c r="I18" s="119">
        <f t="shared" si="1"/>
        <v>4414057.65</v>
      </c>
    </row>
    <row r="19" ht="19.5" customHeight="1"/>
    <row r="20" ht="24.75">
      <c r="A20" s="118" t="s">
        <v>687</v>
      </c>
    </row>
  </sheetData>
  <sheetProtection/>
  <mergeCells count="13">
    <mergeCell ref="C5:C6"/>
    <mergeCell ref="G5:G6"/>
    <mergeCell ref="H5:H6"/>
    <mergeCell ref="D5:D6"/>
    <mergeCell ref="E5:E6"/>
    <mergeCell ref="F5:F6"/>
    <mergeCell ref="I5:I6"/>
    <mergeCell ref="A18:C18"/>
    <mergeCell ref="A1:I1"/>
    <mergeCell ref="A2:I2"/>
    <mergeCell ref="A3:I3"/>
    <mergeCell ref="A5:A6"/>
    <mergeCell ref="B5:B6"/>
  </mergeCells>
  <printOptions horizontalCentered="1"/>
  <pageMargins left="0.25" right="0" top="0.54" bottom="0" header="0.31496062992125984" footer="0.31496062992125984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21" sqref="A21"/>
    </sheetView>
  </sheetViews>
  <sheetFormatPr defaultColWidth="23.421875" defaultRowHeight="15"/>
  <cols>
    <col min="1" max="1" width="14.28125" style="118" customWidth="1"/>
    <col min="2" max="2" width="19.28125" style="118" customWidth="1"/>
    <col min="3" max="3" width="17.57421875" style="118" customWidth="1"/>
    <col min="4" max="4" width="16.421875" style="141" customWidth="1"/>
    <col min="5" max="5" width="18.421875" style="141" customWidth="1"/>
    <col min="6" max="6" width="16.57421875" style="141" customWidth="1"/>
    <col min="7" max="7" width="25.7109375" style="141" customWidth="1"/>
    <col min="8" max="16384" width="23.421875" style="118" customWidth="1"/>
  </cols>
  <sheetData>
    <row r="1" spans="1:7" ht="24.75">
      <c r="A1" s="746" t="s">
        <v>360</v>
      </c>
      <c r="B1" s="746"/>
      <c r="C1" s="746"/>
      <c r="D1" s="746"/>
      <c r="E1" s="746"/>
      <c r="F1" s="746"/>
      <c r="G1" s="746"/>
    </row>
    <row r="2" spans="1:7" ht="24.75">
      <c r="A2" s="746" t="s">
        <v>163</v>
      </c>
      <c r="B2" s="746"/>
      <c r="C2" s="746"/>
      <c r="D2" s="746"/>
      <c r="E2" s="746"/>
      <c r="F2" s="746"/>
      <c r="G2" s="746"/>
    </row>
    <row r="3" spans="1:7" ht="24.75">
      <c r="A3" s="746" t="s">
        <v>860</v>
      </c>
      <c r="B3" s="746"/>
      <c r="C3" s="746"/>
      <c r="D3" s="746"/>
      <c r="E3" s="746"/>
      <c r="F3" s="746"/>
      <c r="G3" s="746"/>
    </row>
    <row r="5" spans="1:7" ht="47.25" customHeight="1">
      <c r="A5" s="748" t="s">
        <v>134</v>
      </c>
      <c r="B5" s="737" t="s">
        <v>77</v>
      </c>
      <c r="C5" s="737" t="s">
        <v>74</v>
      </c>
      <c r="D5" s="739" t="s">
        <v>106</v>
      </c>
      <c r="E5" s="739" t="s">
        <v>164</v>
      </c>
      <c r="F5" s="739" t="s">
        <v>165</v>
      </c>
      <c r="G5" s="739" t="s">
        <v>60</v>
      </c>
    </row>
    <row r="6" spans="1:7" ht="54.75" customHeight="1">
      <c r="A6" s="749"/>
      <c r="B6" s="738"/>
      <c r="C6" s="738"/>
      <c r="D6" s="740"/>
      <c r="E6" s="740"/>
      <c r="F6" s="740"/>
      <c r="G6" s="740"/>
    </row>
    <row r="7" spans="1:7" ht="24.75">
      <c r="A7" s="595" t="s">
        <v>114</v>
      </c>
      <c r="B7" s="595"/>
      <c r="C7" s="595"/>
      <c r="D7" s="142"/>
      <c r="E7" s="142"/>
      <c r="F7" s="142"/>
      <c r="G7" s="142"/>
    </row>
    <row r="8" spans="1:7" ht="24.75">
      <c r="A8" s="597" t="s">
        <v>135</v>
      </c>
      <c r="B8" s="598" t="s">
        <v>115</v>
      </c>
      <c r="C8" s="598" t="s">
        <v>80</v>
      </c>
      <c r="D8" s="142"/>
      <c r="E8" s="142"/>
      <c r="F8" s="142"/>
      <c r="G8" s="142">
        <f>SUM(E8:F8)</f>
        <v>0</v>
      </c>
    </row>
    <row r="9" spans="1:7" ht="24.75">
      <c r="A9" s="597"/>
      <c r="B9" s="598" t="s">
        <v>127</v>
      </c>
      <c r="C9" s="598" t="s">
        <v>80</v>
      </c>
      <c r="D9" s="142"/>
      <c r="E9" s="142"/>
      <c r="F9" s="142"/>
      <c r="G9" s="142">
        <f>SUM(E9:F9)</f>
        <v>0</v>
      </c>
    </row>
    <row r="10" spans="1:7" ht="24.75">
      <c r="A10" s="597" t="s">
        <v>136</v>
      </c>
      <c r="B10" s="598" t="s">
        <v>128</v>
      </c>
      <c r="C10" s="598" t="s">
        <v>80</v>
      </c>
      <c r="D10" s="142"/>
      <c r="E10" s="142"/>
      <c r="F10" s="142"/>
      <c r="G10" s="142">
        <f>SUM(E10:F10)</f>
        <v>0</v>
      </c>
    </row>
    <row r="11" spans="1:7" ht="24.75">
      <c r="A11" s="597"/>
      <c r="B11" s="598" t="s">
        <v>129</v>
      </c>
      <c r="C11" s="598" t="s">
        <v>80</v>
      </c>
      <c r="D11" s="142">
        <f>'[2]สรุปรายจ่ายตามงบประมาณ '!D242</f>
        <v>200000</v>
      </c>
      <c r="E11" s="142"/>
      <c r="F11" s="142">
        <f>'[2]สรุปรายจ่ายตามงบประมาณ '!E242</f>
        <v>43340</v>
      </c>
      <c r="G11" s="142">
        <f>SUM(E11:F11)</f>
        <v>43340</v>
      </c>
    </row>
    <row r="12" spans="1:7" ht="24.75">
      <c r="A12" s="597"/>
      <c r="B12" s="598" t="s">
        <v>130</v>
      </c>
      <c r="C12" s="598" t="s">
        <v>80</v>
      </c>
      <c r="D12" s="142"/>
      <c r="E12" s="142"/>
      <c r="F12" s="142"/>
      <c r="G12" s="142">
        <f aca="true" t="shared" si="0" ref="G12:G17">SUM(E12:F12)</f>
        <v>0</v>
      </c>
    </row>
    <row r="13" spans="1:7" ht="24.75">
      <c r="A13" s="597"/>
      <c r="B13" s="598" t="s">
        <v>116</v>
      </c>
      <c r="C13" s="598" t="s">
        <v>80</v>
      </c>
      <c r="D13" s="142"/>
      <c r="E13" s="142"/>
      <c r="F13" s="142"/>
      <c r="G13" s="142">
        <f t="shared" si="0"/>
        <v>0</v>
      </c>
    </row>
    <row r="14" spans="1:7" ht="24.75">
      <c r="A14" s="597" t="s">
        <v>137</v>
      </c>
      <c r="B14" s="598" t="s">
        <v>132</v>
      </c>
      <c r="C14" s="598" t="s">
        <v>80</v>
      </c>
      <c r="D14" s="142"/>
      <c r="E14" s="142"/>
      <c r="F14" s="142"/>
      <c r="G14" s="142">
        <f t="shared" si="0"/>
        <v>0</v>
      </c>
    </row>
    <row r="15" spans="1:7" ht="24.75">
      <c r="A15" s="597"/>
      <c r="B15" s="598" t="s">
        <v>133</v>
      </c>
      <c r="C15" s="598" t="s">
        <v>80</v>
      </c>
      <c r="D15" s="142"/>
      <c r="E15" s="142"/>
      <c r="F15" s="142"/>
      <c r="G15" s="142">
        <f t="shared" si="0"/>
        <v>0</v>
      </c>
    </row>
    <row r="16" spans="1:7" ht="24.75">
      <c r="A16" s="597" t="s">
        <v>138</v>
      </c>
      <c r="B16" s="598" t="s">
        <v>118</v>
      </c>
      <c r="C16" s="598" t="s">
        <v>80</v>
      </c>
      <c r="D16" s="142"/>
      <c r="E16" s="142"/>
      <c r="F16" s="142"/>
      <c r="G16" s="142">
        <f t="shared" si="0"/>
        <v>0</v>
      </c>
    </row>
    <row r="17" spans="1:7" ht="24.75">
      <c r="A17" s="597" t="s">
        <v>139</v>
      </c>
      <c r="B17" s="598" t="s">
        <v>117</v>
      </c>
      <c r="C17" s="598" t="s">
        <v>80</v>
      </c>
      <c r="D17" s="142">
        <f>'[2]สรุปรายจ่ายตามงบประมาณ '!D340+'[2]สรุปรายจ่ายตามงบประมาณ '!D342</f>
        <v>25000</v>
      </c>
      <c r="E17" s="142"/>
      <c r="F17" s="142">
        <f>'[2]สรุปรายจ่ายตามงบประมาณ '!E340+'[2]สรุปรายจ่ายตามงบประมาณ '!E342</f>
        <v>0</v>
      </c>
      <c r="G17" s="142">
        <f t="shared" si="0"/>
        <v>0</v>
      </c>
    </row>
    <row r="18" spans="1:7" ht="24.75">
      <c r="A18" s="743" t="s">
        <v>60</v>
      </c>
      <c r="B18" s="744"/>
      <c r="C18" s="745"/>
      <c r="D18" s="119">
        <f>SUM(D8:D17)</f>
        <v>225000</v>
      </c>
      <c r="E18" s="119">
        <f>SUM(E8:E17)</f>
        <v>0</v>
      </c>
      <c r="F18" s="119">
        <f>SUM(F8:F17)</f>
        <v>43340</v>
      </c>
      <c r="G18" s="119">
        <f>SUM(G8:G17)</f>
        <v>43340</v>
      </c>
    </row>
    <row r="20" spans="1:9" s="167" customFormat="1" ht="23.25">
      <c r="A20" s="167" t="s">
        <v>1138</v>
      </c>
      <c r="D20" s="412"/>
      <c r="E20" s="412"/>
      <c r="F20" s="412"/>
      <c r="G20" s="412"/>
      <c r="H20" s="412"/>
      <c r="I20" s="412"/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18:C18"/>
  </mergeCells>
  <printOptions horizontalCentered="1"/>
  <pageMargins left="0.2" right="0.2" top="0.37" bottom="0" header="0.31496062992125984" footer="0.31496062992125984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4.7109375" style="118" customWidth="1"/>
    <col min="2" max="2" width="20.421875" style="118" customWidth="1"/>
    <col min="3" max="3" width="18.421875" style="118" customWidth="1"/>
    <col min="4" max="4" width="16.421875" style="141" customWidth="1"/>
    <col min="5" max="5" width="17.421875" style="141" customWidth="1"/>
    <col min="6" max="6" width="16.7109375" style="141" customWidth="1"/>
    <col min="7" max="7" width="20.57421875" style="141" customWidth="1"/>
    <col min="8" max="16384" width="9.00390625" style="118" customWidth="1"/>
  </cols>
  <sheetData>
    <row r="1" spans="1:7" ht="24.75">
      <c r="A1" s="746" t="s">
        <v>360</v>
      </c>
      <c r="B1" s="747"/>
      <c r="C1" s="747"/>
      <c r="D1" s="747"/>
      <c r="E1" s="747"/>
      <c r="F1" s="747"/>
      <c r="G1" s="747"/>
    </row>
    <row r="2" spans="1:7" ht="24.75">
      <c r="A2" s="746" t="s">
        <v>166</v>
      </c>
      <c r="B2" s="747"/>
      <c r="C2" s="747"/>
      <c r="D2" s="747"/>
      <c r="E2" s="747"/>
      <c r="F2" s="747"/>
      <c r="G2" s="747"/>
    </row>
    <row r="3" spans="1:7" ht="24.75">
      <c r="A3" s="746" t="s">
        <v>861</v>
      </c>
      <c r="B3" s="747"/>
      <c r="C3" s="747"/>
      <c r="D3" s="747"/>
      <c r="E3" s="747"/>
      <c r="F3" s="747"/>
      <c r="G3" s="747"/>
    </row>
    <row r="5" spans="1:7" ht="45.75" customHeight="1">
      <c r="A5" s="748" t="s">
        <v>134</v>
      </c>
      <c r="B5" s="737" t="s">
        <v>77</v>
      </c>
      <c r="C5" s="737" t="s">
        <v>74</v>
      </c>
      <c r="D5" s="739" t="s">
        <v>106</v>
      </c>
      <c r="E5" s="739" t="s">
        <v>505</v>
      </c>
      <c r="F5" s="739" t="s">
        <v>167</v>
      </c>
      <c r="G5" s="739" t="s">
        <v>60</v>
      </c>
    </row>
    <row r="6" spans="1:7" ht="45.75" customHeight="1">
      <c r="A6" s="749"/>
      <c r="B6" s="738"/>
      <c r="C6" s="738"/>
      <c r="D6" s="740"/>
      <c r="E6" s="740"/>
      <c r="F6" s="740"/>
      <c r="G6" s="740"/>
    </row>
    <row r="7" spans="1:7" ht="24.75">
      <c r="A7" s="595" t="s">
        <v>114</v>
      </c>
      <c r="B7" s="595"/>
      <c r="C7" s="595"/>
      <c r="D7" s="142"/>
      <c r="E7" s="142"/>
      <c r="F7" s="142"/>
      <c r="G7" s="142"/>
    </row>
    <row r="8" spans="1:7" ht="24.75">
      <c r="A8" s="597" t="s">
        <v>135</v>
      </c>
      <c r="B8" s="598" t="s">
        <v>115</v>
      </c>
      <c r="C8" s="598" t="s">
        <v>80</v>
      </c>
      <c r="D8" s="142"/>
      <c r="E8" s="142"/>
      <c r="F8" s="142"/>
      <c r="G8" s="142">
        <f aca="true" t="shared" si="0" ref="G8:G17">SUM(E8:F8)</f>
        <v>0</v>
      </c>
    </row>
    <row r="9" spans="1:7" ht="24.75">
      <c r="A9" s="597"/>
      <c r="B9" s="598" t="s">
        <v>127</v>
      </c>
      <c r="C9" s="598" t="s">
        <v>80</v>
      </c>
      <c r="D9" s="142"/>
      <c r="E9" s="142"/>
      <c r="F9" s="142"/>
      <c r="G9" s="142">
        <f t="shared" si="0"/>
        <v>0</v>
      </c>
    </row>
    <row r="10" spans="1:7" ht="24.75">
      <c r="A10" s="597" t="s">
        <v>136</v>
      </c>
      <c r="B10" s="598" t="s">
        <v>128</v>
      </c>
      <c r="C10" s="598" t="s">
        <v>80</v>
      </c>
      <c r="D10" s="142"/>
      <c r="E10" s="142"/>
      <c r="F10" s="142"/>
      <c r="G10" s="142">
        <f t="shared" si="0"/>
        <v>0</v>
      </c>
    </row>
    <row r="11" spans="1:7" ht="24.75">
      <c r="A11" s="597"/>
      <c r="B11" s="598" t="s">
        <v>129</v>
      </c>
      <c r="C11" s="598" t="s">
        <v>80</v>
      </c>
      <c r="D11" s="142">
        <f>'[2]สรุปรายจ่ายตามงบประมาณ '!D185+'[2]สรุปรายจ่ายตามงบประมาณ '!D191</f>
        <v>189520</v>
      </c>
      <c r="E11" s="142">
        <f>'[2]สรุปรายจ่ายตามงบประมาณ '!E185</f>
        <v>0</v>
      </c>
      <c r="F11" s="142">
        <f>'[2]สรุปรายจ่ายตามงบประมาณ '!E191</f>
        <v>44206</v>
      </c>
      <c r="G11" s="142">
        <f t="shared" si="0"/>
        <v>44206</v>
      </c>
    </row>
    <row r="12" spans="1:7" ht="24.75">
      <c r="A12" s="597"/>
      <c r="B12" s="598" t="s">
        <v>130</v>
      </c>
      <c r="C12" s="598" t="s">
        <v>80</v>
      </c>
      <c r="D12" s="142"/>
      <c r="E12" s="142"/>
      <c r="F12" s="142">
        <v>0</v>
      </c>
      <c r="G12" s="142">
        <f t="shared" si="0"/>
        <v>0</v>
      </c>
    </row>
    <row r="13" spans="1:7" ht="24.75">
      <c r="A13" s="597"/>
      <c r="B13" s="598" t="s">
        <v>116</v>
      </c>
      <c r="C13" s="598" t="s">
        <v>80</v>
      </c>
      <c r="D13" s="142"/>
      <c r="E13" s="142"/>
      <c r="F13" s="142"/>
      <c r="G13" s="142">
        <f t="shared" si="0"/>
        <v>0</v>
      </c>
    </row>
    <row r="14" spans="1:7" ht="24.75">
      <c r="A14" s="597" t="s">
        <v>137</v>
      </c>
      <c r="B14" s="598" t="s">
        <v>132</v>
      </c>
      <c r="C14" s="598" t="s">
        <v>80</v>
      </c>
      <c r="D14" s="142"/>
      <c r="E14" s="142"/>
      <c r="F14" s="142"/>
      <c r="G14" s="142">
        <f t="shared" si="0"/>
        <v>0</v>
      </c>
    </row>
    <row r="15" spans="1:7" ht="24.75">
      <c r="A15" s="597"/>
      <c r="B15" s="598" t="s">
        <v>133</v>
      </c>
      <c r="C15" s="598" t="s">
        <v>80</v>
      </c>
      <c r="D15" s="142"/>
      <c r="E15" s="142"/>
      <c r="F15" s="142"/>
      <c r="G15" s="142">
        <f t="shared" si="0"/>
        <v>0</v>
      </c>
    </row>
    <row r="16" spans="1:7" ht="24.75">
      <c r="A16" s="597" t="s">
        <v>138</v>
      </c>
      <c r="B16" s="598" t="s">
        <v>118</v>
      </c>
      <c r="C16" s="598" t="s">
        <v>80</v>
      </c>
      <c r="D16" s="142"/>
      <c r="E16" s="142"/>
      <c r="F16" s="142"/>
      <c r="G16" s="142">
        <f t="shared" si="0"/>
        <v>0</v>
      </c>
    </row>
    <row r="17" spans="1:7" ht="24.75">
      <c r="A17" s="597" t="s">
        <v>139</v>
      </c>
      <c r="B17" s="598" t="s">
        <v>117</v>
      </c>
      <c r="C17" s="598" t="s">
        <v>80</v>
      </c>
      <c r="D17" s="142"/>
      <c r="E17" s="142"/>
      <c r="F17" s="142">
        <v>0</v>
      </c>
      <c r="G17" s="142">
        <f t="shared" si="0"/>
        <v>0</v>
      </c>
    </row>
    <row r="18" spans="1:7" ht="24.75">
      <c r="A18" s="743" t="s">
        <v>60</v>
      </c>
      <c r="B18" s="744"/>
      <c r="C18" s="745"/>
      <c r="D18" s="119">
        <f>SUM(D8:D17)</f>
        <v>189520</v>
      </c>
      <c r="E18" s="119">
        <f>SUM(E8:E17)</f>
        <v>0</v>
      </c>
      <c r="F18" s="119">
        <f>SUM(F8:F17)</f>
        <v>44206</v>
      </c>
      <c r="G18" s="119">
        <f>SUM(G8:G17)</f>
        <v>44206</v>
      </c>
    </row>
    <row r="20" spans="1:9" ht="24.75">
      <c r="A20" s="167" t="s">
        <v>1139</v>
      </c>
      <c r="H20" s="141"/>
      <c r="I20" s="141"/>
    </row>
  </sheetData>
  <sheetProtection/>
  <mergeCells count="11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18:C18"/>
  </mergeCells>
  <printOptions horizontalCentered="1"/>
  <pageMargins left="0.29" right="0" top="0.39" bottom="0" header="0.31496062992125984" footer="0.31496062992125984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1.140625" style="118" customWidth="1"/>
    <col min="2" max="2" width="20.421875" style="118" customWidth="1"/>
    <col min="3" max="3" width="23.28125" style="118" customWidth="1"/>
    <col min="4" max="4" width="16.421875" style="141" customWidth="1"/>
    <col min="5" max="5" width="17.421875" style="141" customWidth="1"/>
    <col min="6" max="6" width="16.7109375" style="141" customWidth="1"/>
    <col min="7" max="7" width="25.7109375" style="141" customWidth="1"/>
    <col min="8" max="8" width="16.8515625" style="118" customWidth="1"/>
    <col min="9" max="9" width="15.140625" style="118" customWidth="1"/>
    <col min="10" max="16384" width="9.00390625" style="118" customWidth="1"/>
  </cols>
  <sheetData>
    <row r="1" spans="1:7" ht="24.75">
      <c r="A1" s="746" t="s">
        <v>360</v>
      </c>
      <c r="B1" s="747"/>
      <c r="C1" s="747"/>
      <c r="D1" s="747"/>
      <c r="E1" s="747"/>
      <c r="F1" s="747"/>
      <c r="G1" s="747"/>
    </row>
    <row r="2" spans="1:7" ht="24.75">
      <c r="A2" s="746" t="s">
        <v>168</v>
      </c>
      <c r="B2" s="747"/>
      <c r="C2" s="747"/>
      <c r="D2" s="747"/>
      <c r="E2" s="747"/>
      <c r="F2" s="747"/>
      <c r="G2" s="747"/>
    </row>
    <row r="3" spans="1:7" ht="24.75">
      <c r="A3" s="746" t="s">
        <v>862</v>
      </c>
      <c r="B3" s="747"/>
      <c r="C3" s="747"/>
      <c r="D3" s="747"/>
      <c r="E3" s="747"/>
      <c r="F3" s="747"/>
      <c r="G3" s="747"/>
    </row>
    <row r="5" spans="1:7" ht="36.75" customHeight="1">
      <c r="A5" s="748" t="s">
        <v>134</v>
      </c>
      <c r="B5" s="737" t="s">
        <v>77</v>
      </c>
      <c r="C5" s="737" t="s">
        <v>74</v>
      </c>
      <c r="D5" s="739" t="s">
        <v>106</v>
      </c>
      <c r="E5" s="739" t="s">
        <v>169</v>
      </c>
      <c r="F5" s="739" t="s">
        <v>170</v>
      </c>
      <c r="G5" s="739" t="s">
        <v>60</v>
      </c>
    </row>
    <row r="6" spans="1:7" ht="30" customHeight="1">
      <c r="A6" s="749"/>
      <c r="B6" s="738"/>
      <c r="C6" s="738"/>
      <c r="D6" s="740"/>
      <c r="E6" s="740"/>
      <c r="F6" s="740"/>
      <c r="G6" s="740"/>
    </row>
    <row r="7" spans="1:8" ht="24.75">
      <c r="A7" s="595" t="s">
        <v>114</v>
      </c>
      <c r="B7" s="595"/>
      <c r="C7" s="595"/>
      <c r="D7" s="142"/>
      <c r="E7" s="142"/>
      <c r="F7" s="142"/>
      <c r="G7" s="142"/>
      <c r="H7" s="353"/>
    </row>
    <row r="8" spans="1:8" ht="24.75">
      <c r="A8" s="597" t="s">
        <v>135</v>
      </c>
      <c r="B8" s="598" t="s">
        <v>115</v>
      </c>
      <c r="C8" s="598" t="s">
        <v>80</v>
      </c>
      <c r="D8" s="142"/>
      <c r="E8" s="142"/>
      <c r="F8" s="142"/>
      <c r="G8" s="142">
        <f>SUM(E8:F8)</f>
        <v>0</v>
      </c>
      <c r="H8" s="353"/>
    </row>
    <row r="9" spans="1:8" ht="24.75">
      <c r="A9" s="597"/>
      <c r="B9" s="598" t="s">
        <v>127</v>
      </c>
      <c r="C9" s="598" t="s">
        <v>80</v>
      </c>
      <c r="D9" s="142">
        <f>'[2]สรุปรายจ่ายตามงบประมาณ '!D81</f>
        <v>164480</v>
      </c>
      <c r="E9" s="142">
        <f>'[2]สรุปรายจ่ายตามงบประมาณ '!E81</f>
        <v>140434</v>
      </c>
      <c r="F9" s="142"/>
      <c r="G9" s="142">
        <f>SUM(E9:F9)</f>
        <v>140434</v>
      </c>
      <c r="H9" s="353"/>
    </row>
    <row r="10" spans="1:8" ht="24.75">
      <c r="A10" s="597" t="s">
        <v>136</v>
      </c>
      <c r="B10" s="598" t="s">
        <v>128</v>
      </c>
      <c r="C10" s="598" t="s">
        <v>80</v>
      </c>
      <c r="D10" s="142">
        <f>'[2]สรุปรายจ่ายตามงบประมาณ '!D132</f>
        <v>35800</v>
      </c>
      <c r="E10" s="142">
        <f>'[2]สรุปรายจ่ายตามงบประมาณ '!E132</f>
        <v>0</v>
      </c>
      <c r="F10" s="142"/>
      <c r="G10" s="142">
        <f>SUM(E10:F10)</f>
        <v>0</v>
      </c>
      <c r="H10" s="353"/>
    </row>
    <row r="11" spans="1:9" ht="24.75">
      <c r="A11" s="597"/>
      <c r="B11" s="598" t="s">
        <v>129</v>
      </c>
      <c r="C11" s="598" t="s">
        <v>80</v>
      </c>
      <c r="D11" s="142">
        <f>'[2]สรุปรายจ่ายตามงบประมาณ '!D249+'[2]สรุปรายจ่ายตามงบประมาณ '!D255</f>
        <v>149000</v>
      </c>
      <c r="E11" s="142">
        <f>'[2]สรุปรายจ่ายตามงบประมาณ '!E249</f>
        <v>0</v>
      </c>
      <c r="F11" s="142">
        <f>'[2]สรุปรายจ่ายตามงบประมาณ '!E255</f>
        <v>37870</v>
      </c>
      <c r="G11" s="142">
        <f>SUM(E11:F11)</f>
        <v>37870</v>
      </c>
      <c r="H11" s="353"/>
      <c r="I11" s="141"/>
    </row>
    <row r="12" spans="1:8" ht="24.75">
      <c r="A12" s="597"/>
      <c r="B12" s="598" t="s">
        <v>130</v>
      </c>
      <c r="C12" s="598" t="s">
        <v>80</v>
      </c>
      <c r="D12" s="142">
        <f>'[2]สรุปรายจ่ายตามงบประมาณ '!D302</f>
        <v>9000</v>
      </c>
      <c r="E12" s="142">
        <f>'[2]สรุปรายจ่ายตามงบประมาณ '!E302</f>
        <v>0</v>
      </c>
      <c r="F12" s="142"/>
      <c r="G12" s="142">
        <f>SUM(E12:F12)</f>
        <v>0</v>
      </c>
      <c r="H12" s="353"/>
    </row>
    <row r="13" spans="1:8" ht="24.75">
      <c r="A13" s="597"/>
      <c r="B13" s="598" t="s">
        <v>116</v>
      </c>
      <c r="C13" s="598" t="s">
        <v>80</v>
      </c>
      <c r="D13" s="142">
        <v>0</v>
      </c>
      <c r="E13" s="142"/>
      <c r="F13" s="142"/>
      <c r="G13" s="142"/>
      <c r="H13" s="353"/>
    </row>
    <row r="14" spans="1:8" ht="24.75">
      <c r="A14" s="597" t="s">
        <v>137</v>
      </c>
      <c r="B14" s="598" t="s">
        <v>132</v>
      </c>
      <c r="C14" s="598" t="s">
        <v>80</v>
      </c>
      <c r="D14" s="142">
        <f>'[2]สรุปรายจ่ายตามงบประมาณ '!D304</f>
        <v>0</v>
      </c>
      <c r="E14" s="142"/>
      <c r="F14" s="142"/>
      <c r="G14" s="142"/>
      <c r="H14" s="353"/>
    </row>
    <row r="15" spans="1:8" ht="24.75">
      <c r="A15" s="597"/>
      <c r="B15" s="598" t="s">
        <v>133</v>
      </c>
      <c r="C15" s="598" t="s">
        <v>80</v>
      </c>
      <c r="D15" s="142">
        <f>'[2]สรุปรายจ่ายตามงบประมาณ '!D419</f>
        <v>500000</v>
      </c>
      <c r="E15" s="142"/>
      <c r="F15" s="142"/>
      <c r="G15" s="142"/>
      <c r="H15" s="353"/>
    </row>
    <row r="16" spans="1:8" ht="24.75">
      <c r="A16" s="597" t="s">
        <v>138</v>
      </c>
      <c r="B16" s="598" t="s">
        <v>118</v>
      </c>
      <c r="C16" s="598" t="s">
        <v>80</v>
      </c>
      <c r="D16" s="142">
        <v>0</v>
      </c>
      <c r="E16" s="142"/>
      <c r="F16" s="142"/>
      <c r="G16" s="142"/>
      <c r="H16" s="353"/>
    </row>
    <row r="17" spans="1:8" ht="24.75">
      <c r="A17" s="597" t="s">
        <v>139</v>
      </c>
      <c r="B17" s="598" t="s">
        <v>117</v>
      </c>
      <c r="C17" s="598" t="s">
        <v>80</v>
      </c>
      <c r="D17" s="142">
        <v>0</v>
      </c>
      <c r="E17" s="142"/>
      <c r="F17" s="142"/>
      <c r="G17" s="142"/>
      <c r="H17" s="353"/>
    </row>
    <row r="18" spans="1:8" ht="24.75">
      <c r="A18" s="743" t="s">
        <v>60</v>
      </c>
      <c r="B18" s="744"/>
      <c r="C18" s="745"/>
      <c r="D18" s="354">
        <f>SUM(D8:D17)</f>
        <v>858280</v>
      </c>
      <c r="E18" s="354">
        <f>SUM(E8:E17)</f>
        <v>140434</v>
      </c>
      <c r="F18" s="354">
        <f>SUM(F8:F17)</f>
        <v>37870</v>
      </c>
      <c r="G18" s="354">
        <f>SUM(G8:G17)</f>
        <v>178304</v>
      </c>
      <c r="H18" s="353"/>
    </row>
    <row r="20" spans="1:9" s="167" customFormat="1" ht="23.25">
      <c r="A20" s="167" t="s">
        <v>1140</v>
      </c>
      <c r="D20" s="412"/>
      <c r="E20" s="412"/>
      <c r="F20" s="412"/>
      <c r="G20" s="412"/>
      <c r="H20" s="412"/>
      <c r="I20" s="412"/>
    </row>
    <row r="23" ht="24.75">
      <c r="D23" s="141">
        <f>'[2]แผนงานงบกลาง'!D15+'[2]แผนบริหารงานทั่วไป'!D18+'[2]การรักษาความสงบภายใน'!D18+'[2]แผนการศึกษา'!D17+'[2]สาธารณสุข'!D18+'[2]สังคมสงเคราะห์'!D18+'[2]เคหะและชุมชน'!D18+'[2]สร้างความเข้มแข็งของชุมชน'!D18+'[2]ศาสนาวัฒนธรรม'!D18+'[2]การเกษตร'!D18</f>
        <v>46535000</v>
      </c>
    </row>
  </sheetData>
  <sheetProtection/>
  <mergeCells count="11">
    <mergeCell ref="C5:C6"/>
    <mergeCell ref="D5:D6"/>
    <mergeCell ref="E5:E6"/>
    <mergeCell ref="F5:F6"/>
    <mergeCell ref="G5:G6"/>
    <mergeCell ref="A18:C18"/>
    <mergeCell ref="A1:G1"/>
    <mergeCell ref="A2:G2"/>
    <mergeCell ref="A3:G3"/>
    <mergeCell ref="A5:A6"/>
    <mergeCell ref="B5:B6"/>
  </mergeCells>
  <printOptions horizontalCentered="1"/>
  <pageMargins left="0.2" right="0" top="0.49" bottom="0" header="0.31496062992125984" footer="0.31496062992125984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40"/>
  <sheetViews>
    <sheetView zoomScale="120" zoomScaleNormal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2" sqref="A22"/>
    </sheetView>
  </sheetViews>
  <sheetFormatPr defaultColWidth="9.140625" defaultRowHeight="15"/>
  <cols>
    <col min="1" max="1" width="30.7109375" style="12" customWidth="1"/>
    <col min="2" max="2" width="5.8515625" style="350" customWidth="1"/>
    <col min="3" max="3" width="10.7109375" style="12" customWidth="1"/>
    <col min="4" max="4" width="5.140625" style="12" customWidth="1"/>
    <col min="5" max="5" width="10.140625" style="12" customWidth="1"/>
    <col min="6" max="6" width="4.57421875" style="12" bestFit="1" customWidth="1"/>
    <col min="7" max="7" width="9.140625" style="12" customWidth="1"/>
    <col min="8" max="8" width="4.57421875" style="12" customWidth="1"/>
    <col min="9" max="9" width="12.421875" style="12" customWidth="1"/>
    <col min="10" max="10" width="4.57421875" style="12" bestFit="1" customWidth="1"/>
    <col min="11" max="11" width="9.421875" style="12" customWidth="1"/>
    <col min="12" max="12" width="4.57421875" style="12" bestFit="1" customWidth="1"/>
    <col min="13" max="13" width="9.421875" style="12" customWidth="1"/>
    <col min="14" max="14" width="4.8515625" style="12" customWidth="1"/>
    <col min="15" max="15" width="11.8515625" style="12" customWidth="1"/>
    <col min="16" max="16" width="4.57421875" style="12" bestFit="1" customWidth="1"/>
    <col min="17" max="17" width="11.57421875" style="12" customWidth="1"/>
    <col min="18" max="18" width="4.57421875" style="12" customWidth="1"/>
    <col min="19" max="16384" width="9.00390625" style="12" customWidth="1"/>
  </cols>
  <sheetData>
    <row r="1" spans="1:18" s="272" customFormat="1" ht="27.75">
      <c r="A1" s="617" t="s">
        <v>1015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</row>
    <row r="2" spans="1:18" s="272" customFormat="1" ht="27.75">
      <c r="A2" s="617" t="s">
        <v>447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</row>
    <row r="3" spans="1:18" s="272" customFormat="1" ht="18.75">
      <c r="A3" s="329" t="s">
        <v>64</v>
      </c>
      <c r="B3" s="330" t="s">
        <v>1016</v>
      </c>
      <c r="C3" s="752" t="s">
        <v>1051</v>
      </c>
      <c r="D3" s="752"/>
      <c r="E3" s="752"/>
      <c r="F3" s="752"/>
      <c r="G3" s="752" t="s">
        <v>1017</v>
      </c>
      <c r="H3" s="752"/>
      <c r="I3" s="752"/>
      <c r="J3" s="752"/>
      <c r="K3" s="752" t="s">
        <v>1018</v>
      </c>
      <c r="L3" s="752"/>
      <c r="M3" s="752"/>
      <c r="N3" s="752"/>
      <c r="O3" s="752" t="s">
        <v>1055</v>
      </c>
      <c r="P3" s="752"/>
      <c r="Q3" s="752"/>
      <c r="R3" s="752"/>
    </row>
    <row r="4" spans="1:18" s="24" customFormat="1" ht="18.75">
      <c r="A4" s="331"/>
      <c r="B4" s="332" t="s">
        <v>1019</v>
      </c>
      <c r="C4" s="755" t="s">
        <v>1020</v>
      </c>
      <c r="D4" s="755"/>
      <c r="E4" s="755" t="s">
        <v>250</v>
      </c>
      <c r="F4" s="755"/>
      <c r="G4" s="755" t="s">
        <v>1020</v>
      </c>
      <c r="H4" s="755"/>
      <c r="I4" s="755" t="s">
        <v>250</v>
      </c>
      <c r="J4" s="755"/>
      <c r="K4" s="755" t="s">
        <v>1020</v>
      </c>
      <c r="L4" s="755"/>
      <c r="M4" s="755" t="s">
        <v>250</v>
      </c>
      <c r="N4" s="755"/>
      <c r="O4" s="755" t="s">
        <v>1020</v>
      </c>
      <c r="P4" s="755"/>
      <c r="Q4" s="755" t="s">
        <v>250</v>
      </c>
      <c r="R4" s="755"/>
    </row>
    <row r="5" spans="1:18" s="24" customFormat="1" ht="18.75" customHeight="1">
      <c r="A5" s="333" t="s">
        <v>257</v>
      </c>
      <c r="B5" s="334" t="s">
        <v>1021</v>
      </c>
      <c r="C5" s="337">
        <v>0</v>
      </c>
      <c r="D5" s="337">
        <v>0</v>
      </c>
      <c r="E5" s="337">
        <v>0</v>
      </c>
      <c r="F5" s="337">
        <v>0</v>
      </c>
      <c r="G5" s="337">
        <v>0</v>
      </c>
      <c r="H5" s="337">
        <v>0</v>
      </c>
      <c r="I5" s="337">
        <v>0</v>
      </c>
      <c r="J5" s="337">
        <v>0</v>
      </c>
      <c r="K5" s="337">
        <v>0</v>
      </c>
      <c r="L5" s="337">
        <v>0</v>
      </c>
      <c r="M5" s="337">
        <v>0</v>
      </c>
      <c r="N5" s="337">
        <v>0</v>
      </c>
      <c r="O5" s="337">
        <v>0</v>
      </c>
      <c r="P5" s="337">
        <v>0</v>
      </c>
      <c r="Q5" s="337">
        <v>0</v>
      </c>
      <c r="R5" s="337">
        <v>0</v>
      </c>
    </row>
    <row r="6" spans="1:18" s="272" customFormat="1" ht="18.75">
      <c r="A6" s="335" t="s">
        <v>1022</v>
      </c>
      <c r="B6" s="336" t="s">
        <v>258</v>
      </c>
      <c r="C6" s="337">
        <v>0</v>
      </c>
      <c r="D6" s="337">
        <v>0</v>
      </c>
      <c r="E6" s="337">
        <v>0</v>
      </c>
      <c r="F6" s="337">
        <v>0</v>
      </c>
      <c r="G6" s="337">
        <v>0</v>
      </c>
      <c r="H6" s="337">
        <v>0</v>
      </c>
      <c r="I6" s="337">
        <v>0</v>
      </c>
      <c r="J6" s="337">
        <v>0</v>
      </c>
      <c r="K6" s="337">
        <v>0</v>
      </c>
      <c r="L6" s="337">
        <v>0</v>
      </c>
      <c r="M6" s="337">
        <v>0</v>
      </c>
      <c r="N6" s="337">
        <v>0</v>
      </c>
      <c r="O6" s="337">
        <v>0</v>
      </c>
      <c r="P6" s="337">
        <v>0</v>
      </c>
      <c r="Q6" s="337">
        <v>0</v>
      </c>
      <c r="R6" s="337">
        <v>0</v>
      </c>
    </row>
    <row r="7" spans="1:18" s="272" customFormat="1" ht="18.75">
      <c r="A7" s="335" t="s">
        <v>1023</v>
      </c>
      <c r="B7" s="336" t="s">
        <v>258</v>
      </c>
      <c r="C7" s="337">
        <v>0</v>
      </c>
      <c r="D7" s="337">
        <v>0</v>
      </c>
      <c r="E7" s="337">
        <v>0</v>
      </c>
      <c r="F7" s="337">
        <v>0</v>
      </c>
      <c r="G7" s="337">
        <v>0</v>
      </c>
      <c r="H7" s="337">
        <v>0</v>
      </c>
      <c r="I7" s="337">
        <v>0</v>
      </c>
      <c r="J7" s="337">
        <v>0</v>
      </c>
      <c r="K7" s="337">
        <v>0</v>
      </c>
      <c r="L7" s="337">
        <v>0</v>
      </c>
      <c r="M7" s="337">
        <v>0</v>
      </c>
      <c r="N7" s="337">
        <v>0</v>
      </c>
      <c r="O7" s="337">
        <v>0</v>
      </c>
      <c r="P7" s="337">
        <v>0</v>
      </c>
      <c r="Q7" s="337">
        <v>0</v>
      </c>
      <c r="R7" s="337">
        <v>0</v>
      </c>
    </row>
    <row r="8" spans="1:18" s="272" customFormat="1" ht="18.75">
      <c r="A8" s="335" t="s">
        <v>1024</v>
      </c>
      <c r="B8" s="336" t="s">
        <v>258</v>
      </c>
      <c r="C8" s="337">
        <v>0</v>
      </c>
      <c r="D8" s="337">
        <v>0</v>
      </c>
      <c r="E8" s="337">
        <v>0</v>
      </c>
      <c r="F8" s="337">
        <v>0</v>
      </c>
      <c r="G8" s="337">
        <v>0</v>
      </c>
      <c r="H8" s="337">
        <v>0</v>
      </c>
      <c r="I8" s="337">
        <v>0</v>
      </c>
      <c r="J8" s="337">
        <v>0</v>
      </c>
      <c r="K8" s="337">
        <v>0</v>
      </c>
      <c r="L8" s="337">
        <v>0</v>
      </c>
      <c r="M8" s="337">
        <v>0</v>
      </c>
      <c r="N8" s="337">
        <v>0</v>
      </c>
      <c r="O8" s="337">
        <v>0</v>
      </c>
      <c r="P8" s="337">
        <v>0</v>
      </c>
      <c r="Q8" s="337">
        <v>0</v>
      </c>
      <c r="R8" s="337">
        <v>0</v>
      </c>
    </row>
    <row r="9" spans="1:18" s="272" customFormat="1" ht="18.75">
      <c r="A9" s="335" t="s">
        <v>1025</v>
      </c>
      <c r="B9" s="336" t="s">
        <v>1026</v>
      </c>
      <c r="C9" s="337">
        <v>54285</v>
      </c>
      <c r="D9" s="337">
        <v>80</v>
      </c>
      <c r="E9" s="337">
        <v>0</v>
      </c>
      <c r="F9" s="337">
        <v>0</v>
      </c>
      <c r="G9" s="337">
        <v>0</v>
      </c>
      <c r="H9" s="337">
        <v>0</v>
      </c>
      <c r="I9" s="337">
        <v>0</v>
      </c>
      <c r="J9" s="337">
        <v>0</v>
      </c>
      <c r="K9" s="337"/>
      <c r="L9" s="337"/>
      <c r="M9" s="337">
        <v>0</v>
      </c>
      <c r="N9" s="337">
        <v>0</v>
      </c>
      <c r="O9" s="337">
        <v>54285</v>
      </c>
      <c r="P9" s="337">
        <v>80</v>
      </c>
      <c r="Q9" s="337">
        <v>0</v>
      </c>
      <c r="R9" s="337">
        <v>0</v>
      </c>
    </row>
    <row r="10" spans="1:18" s="272" customFormat="1" ht="18.75">
      <c r="A10" s="335" t="s">
        <v>1027</v>
      </c>
      <c r="B10" s="336" t="s">
        <v>1026</v>
      </c>
      <c r="C10" s="337">
        <v>16887900</v>
      </c>
      <c r="D10" s="337">
        <v>34</v>
      </c>
      <c r="E10" s="337">
        <v>0</v>
      </c>
      <c r="F10" s="337">
        <v>0</v>
      </c>
      <c r="G10" s="337">
        <v>0</v>
      </c>
      <c r="H10" s="337">
        <v>0</v>
      </c>
      <c r="I10" s="337">
        <v>0</v>
      </c>
      <c r="J10" s="337">
        <v>0</v>
      </c>
      <c r="K10" s="337"/>
      <c r="L10" s="337"/>
      <c r="M10" s="337">
        <v>0</v>
      </c>
      <c r="N10" s="337">
        <v>0</v>
      </c>
      <c r="O10" s="337">
        <v>16887900</v>
      </c>
      <c r="P10" s="337">
        <v>34</v>
      </c>
      <c r="Q10" s="337">
        <v>0</v>
      </c>
      <c r="R10" s="337">
        <v>0</v>
      </c>
    </row>
    <row r="11" spans="1:18" s="272" customFormat="1" ht="18.75">
      <c r="A11" s="335" t="s">
        <v>1028</v>
      </c>
      <c r="B11" s="336" t="s">
        <v>1026</v>
      </c>
      <c r="C11" s="337">
        <v>43956</v>
      </c>
      <c r="D11" s="337">
        <v>7</v>
      </c>
      <c r="E11" s="337">
        <v>0</v>
      </c>
      <c r="F11" s="337">
        <v>0</v>
      </c>
      <c r="G11" s="337">
        <v>0</v>
      </c>
      <c r="H11" s="337">
        <v>0</v>
      </c>
      <c r="I11" s="337">
        <v>0</v>
      </c>
      <c r="J11" s="337">
        <v>0</v>
      </c>
      <c r="K11" s="337">
        <v>0</v>
      </c>
      <c r="L11" s="337">
        <v>0</v>
      </c>
      <c r="M11" s="337">
        <v>0</v>
      </c>
      <c r="N11" s="337">
        <v>0</v>
      </c>
      <c r="O11" s="337">
        <v>43956</v>
      </c>
      <c r="P11" s="337">
        <v>7</v>
      </c>
      <c r="Q11" s="337">
        <v>0</v>
      </c>
      <c r="R11" s="337">
        <v>0</v>
      </c>
    </row>
    <row r="12" spans="1:18" s="272" customFormat="1" ht="18.75">
      <c r="A12" s="335" t="s">
        <v>1053</v>
      </c>
      <c r="B12" s="336" t="s">
        <v>1052</v>
      </c>
      <c r="C12" s="337">
        <v>10115000</v>
      </c>
      <c r="D12" s="337">
        <v>0</v>
      </c>
      <c r="E12" s="337">
        <v>0</v>
      </c>
      <c r="F12" s="337">
        <v>0</v>
      </c>
      <c r="G12" s="337">
        <v>0</v>
      </c>
      <c r="H12" s="337">
        <v>0</v>
      </c>
      <c r="I12" s="337">
        <v>0</v>
      </c>
      <c r="J12" s="337">
        <v>0</v>
      </c>
      <c r="K12" s="337">
        <v>0</v>
      </c>
      <c r="L12" s="337">
        <v>0</v>
      </c>
      <c r="M12" s="337">
        <v>0</v>
      </c>
      <c r="N12" s="337">
        <v>0</v>
      </c>
      <c r="O12" s="337">
        <v>10115000</v>
      </c>
      <c r="P12" s="337">
        <v>0</v>
      </c>
      <c r="Q12" s="337">
        <v>0</v>
      </c>
      <c r="R12" s="337">
        <v>0</v>
      </c>
    </row>
    <row r="13" spans="1:18" s="272" customFormat="1" ht="18.75">
      <c r="A13" s="335" t="s">
        <v>1029</v>
      </c>
      <c r="B13" s="336" t="s">
        <v>1026</v>
      </c>
      <c r="C13" s="337">
        <v>3342</v>
      </c>
      <c r="D13" s="337">
        <v>95</v>
      </c>
      <c r="E13" s="337">
        <v>0</v>
      </c>
      <c r="F13" s="337">
        <v>0</v>
      </c>
      <c r="G13" s="337">
        <v>0</v>
      </c>
      <c r="H13" s="337">
        <v>0</v>
      </c>
      <c r="I13" s="337">
        <v>0</v>
      </c>
      <c r="J13" s="337">
        <v>0</v>
      </c>
      <c r="K13" s="337">
        <v>0</v>
      </c>
      <c r="L13" s="337">
        <v>0</v>
      </c>
      <c r="M13" s="337">
        <v>0</v>
      </c>
      <c r="N13" s="337">
        <v>0</v>
      </c>
      <c r="O13" s="337">
        <v>3342</v>
      </c>
      <c r="P13" s="337">
        <v>95</v>
      </c>
      <c r="Q13" s="337">
        <v>0</v>
      </c>
      <c r="R13" s="337">
        <v>0</v>
      </c>
    </row>
    <row r="14" spans="1:18" s="272" customFormat="1" ht="18.75">
      <c r="A14" s="335" t="s">
        <v>1030</v>
      </c>
      <c r="B14" s="336" t="s">
        <v>1026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0</v>
      </c>
      <c r="R14" s="337">
        <v>0</v>
      </c>
    </row>
    <row r="15" spans="1:18" s="272" customFormat="1" ht="18.75">
      <c r="A15" s="335" t="s">
        <v>1031</v>
      </c>
      <c r="B15" s="336" t="s">
        <v>1026</v>
      </c>
      <c r="C15" s="337">
        <v>3494384</v>
      </c>
      <c r="D15" s="337">
        <v>85</v>
      </c>
      <c r="E15" s="337">
        <v>0</v>
      </c>
      <c r="F15" s="337">
        <v>0</v>
      </c>
      <c r="G15" s="337">
        <v>0</v>
      </c>
      <c r="H15" s="337">
        <v>0</v>
      </c>
      <c r="I15" s="337">
        <v>0</v>
      </c>
      <c r="J15" s="337">
        <v>0</v>
      </c>
      <c r="K15" s="337">
        <v>0</v>
      </c>
      <c r="L15" s="337">
        <v>0</v>
      </c>
      <c r="M15" s="337">
        <v>0</v>
      </c>
      <c r="N15" s="337">
        <v>0</v>
      </c>
      <c r="O15" s="337">
        <v>3494384</v>
      </c>
      <c r="P15" s="337">
        <v>85</v>
      </c>
      <c r="Q15" s="337">
        <v>0</v>
      </c>
      <c r="R15" s="337">
        <v>0</v>
      </c>
    </row>
    <row r="16" spans="1:18" s="272" customFormat="1" ht="18.75">
      <c r="A16" s="338" t="s">
        <v>1032</v>
      </c>
      <c r="B16" s="339" t="s">
        <v>1033</v>
      </c>
      <c r="C16" s="337">
        <v>0</v>
      </c>
      <c r="D16" s="337">
        <v>0</v>
      </c>
      <c r="E16" s="337">
        <v>0</v>
      </c>
      <c r="F16" s="337">
        <v>0</v>
      </c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</row>
    <row r="17" spans="1:18" s="272" customFormat="1" ht="18.75">
      <c r="A17" s="338" t="s">
        <v>1034</v>
      </c>
      <c r="B17" s="336" t="s">
        <v>1035</v>
      </c>
      <c r="C17" s="337">
        <v>53419</v>
      </c>
      <c r="D17" s="337">
        <v>68</v>
      </c>
      <c r="E17" s="337">
        <v>0</v>
      </c>
      <c r="F17" s="337">
        <v>0</v>
      </c>
      <c r="G17" s="337"/>
      <c r="H17" s="337"/>
      <c r="I17" s="337"/>
      <c r="J17" s="337"/>
      <c r="K17" s="337"/>
      <c r="L17" s="337"/>
      <c r="M17" s="337">
        <v>0</v>
      </c>
      <c r="N17" s="337">
        <v>0</v>
      </c>
      <c r="O17" s="337">
        <v>53419</v>
      </c>
      <c r="P17" s="337">
        <v>68</v>
      </c>
      <c r="Q17" s="337">
        <v>0</v>
      </c>
      <c r="R17" s="337">
        <v>0</v>
      </c>
    </row>
    <row r="18" spans="1:18" s="272" customFormat="1" ht="18.75">
      <c r="A18" s="338" t="s">
        <v>10</v>
      </c>
      <c r="B18" s="340"/>
      <c r="C18" s="337">
        <v>13518</v>
      </c>
      <c r="D18" s="337">
        <v>75</v>
      </c>
      <c r="E18" s="337">
        <v>0</v>
      </c>
      <c r="F18" s="337">
        <v>0</v>
      </c>
      <c r="G18" s="337">
        <v>0</v>
      </c>
      <c r="H18" s="337">
        <v>0</v>
      </c>
      <c r="I18" s="337">
        <v>0</v>
      </c>
      <c r="J18" s="337">
        <v>0</v>
      </c>
      <c r="K18" s="337">
        <v>0</v>
      </c>
      <c r="L18" s="337">
        <v>0</v>
      </c>
      <c r="M18" s="337">
        <v>0</v>
      </c>
      <c r="N18" s="337">
        <v>0</v>
      </c>
      <c r="O18" s="337">
        <v>13518</v>
      </c>
      <c r="P18" s="337">
        <v>75</v>
      </c>
      <c r="Q18" s="337">
        <v>0</v>
      </c>
      <c r="R18" s="337">
        <v>0</v>
      </c>
    </row>
    <row r="19" spans="1:18" s="272" customFormat="1" ht="18.75">
      <c r="A19" s="338" t="s">
        <v>1036</v>
      </c>
      <c r="B19" s="336" t="s">
        <v>1037</v>
      </c>
      <c r="C19" s="337">
        <v>1727584</v>
      </c>
      <c r="D19" s="337">
        <v>0</v>
      </c>
      <c r="E19" s="337">
        <v>0</v>
      </c>
      <c r="F19" s="337">
        <v>0</v>
      </c>
      <c r="G19" s="337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37">
        <v>0</v>
      </c>
      <c r="O19" s="337">
        <v>1727584</v>
      </c>
      <c r="P19" s="337">
        <v>0</v>
      </c>
      <c r="Q19" s="337">
        <v>0</v>
      </c>
      <c r="R19" s="337">
        <v>0</v>
      </c>
    </row>
    <row r="20" spans="1:18" s="272" customFormat="1" ht="18.75">
      <c r="A20" s="338" t="s">
        <v>1038</v>
      </c>
      <c r="B20" s="336" t="s">
        <v>1039</v>
      </c>
      <c r="C20" s="337">
        <v>0</v>
      </c>
      <c r="D20" s="337">
        <v>0</v>
      </c>
      <c r="E20" s="337">
        <v>0</v>
      </c>
      <c r="F20" s="337">
        <v>0</v>
      </c>
      <c r="G20" s="337">
        <v>0</v>
      </c>
      <c r="H20" s="337">
        <v>0</v>
      </c>
      <c r="I20" s="337">
        <v>0</v>
      </c>
      <c r="J20" s="337">
        <v>0</v>
      </c>
      <c r="K20" s="337">
        <v>0</v>
      </c>
      <c r="L20" s="337">
        <v>0</v>
      </c>
      <c r="M20" s="337">
        <v>0</v>
      </c>
      <c r="N20" s="337">
        <v>0</v>
      </c>
      <c r="O20" s="337">
        <v>0</v>
      </c>
      <c r="P20" s="337">
        <v>0</v>
      </c>
      <c r="Q20" s="337">
        <v>0</v>
      </c>
      <c r="R20" s="337">
        <v>0</v>
      </c>
    </row>
    <row r="21" spans="1:18" s="272" customFormat="1" ht="18.75">
      <c r="A21" s="338" t="s">
        <v>1054</v>
      </c>
      <c r="B21" s="340"/>
      <c r="C21" s="337">
        <v>42400</v>
      </c>
      <c r="D21" s="337">
        <v>0</v>
      </c>
      <c r="E21" s="337">
        <v>0</v>
      </c>
      <c r="F21" s="337">
        <v>0</v>
      </c>
      <c r="G21" s="337">
        <v>0</v>
      </c>
      <c r="H21" s="337">
        <v>0</v>
      </c>
      <c r="I21" s="337">
        <v>0</v>
      </c>
      <c r="J21" s="337">
        <v>0</v>
      </c>
      <c r="K21" s="337">
        <v>0</v>
      </c>
      <c r="L21" s="337">
        <v>0</v>
      </c>
      <c r="M21" s="337">
        <v>0</v>
      </c>
      <c r="N21" s="337">
        <v>0</v>
      </c>
      <c r="O21" s="337">
        <v>42400</v>
      </c>
      <c r="P21" s="337">
        <v>0</v>
      </c>
      <c r="Q21" s="337">
        <v>0</v>
      </c>
      <c r="R21" s="337">
        <v>0</v>
      </c>
    </row>
    <row r="22" spans="1:18" s="272" customFormat="1" ht="18.75">
      <c r="A22" s="338" t="s">
        <v>7</v>
      </c>
      <c r="B22" s="340"/>
      <c r="C22" s="337">
        <v>42400</v>
      </c>
      <c r="D22" s="337">
        <v>0</v>
      </c>
      <c r="E22" s="337">
        <v>0</v>
      </c>
      <c r="F22" s="337">
        <v>0</v>
      </c>
      <c r="G22" s="337">
        <v>0</v>
      </c>
      <c r="H22" s="337">
        <v>0</v>
      </c>
      <c r="I22" s="337">
        <v>0</v>
      </c>
      <c r="J22" s="337">
        <v>0</v>
      </c>
      <c r="K22" s="337">
        <v>0</v>
      </c>
      <c r="L22" s="337">
        <v>0</v>
      </c>
      <c r="M22" s="337">
        <v>0</v>
      </c>
      <c r="N22" s="337">
        <v>0</v>
      </c>
      <c r="O22" s="337">
        <v>42400</v>
      </c>
      <c r="P22" s="337">
        <v>0</v>
      </c>
      <c r="Q22" s="337">
        <v>0</v>
      </c>
      <c r="R22" s="337">
        <v>0</v>
      </c>
    </row>
    <row r="23" spans="1:18" s="272" customFormat="1" ht="18.75">
      <c r="A23" s="338" t="s">
        <v>113</v>
      </c>
      <c r="B23" s="336" t="s">
        <v>1040</v>
      </c>
      <c r="C23" s="337">
        <v>14401489</v>
      </c>
      <c r="D23" s="337">
        <v>0</v>
      </c>
      <c r="E23" s="337">
        <v>0</v>
      </c>
      <c r="F23" s="337">
        <v>0</v>
      </c>
      <c r="G23" s="337">
        <v>102200</v>
      </c>
      <c r="H23" s="337">
        <v>0</v>
      </c>
      <c r="I23" s="337">
        <v>0</v>
      </c>
      <c r="J23" s="337">
        <v>0</v>
      </c>
      <c r="K23" s="337">
        <v>0</v>
      </c>
      <c r="L23" s="337">
        <v>0</v>
      </c>
      <c r="M23" s="337">
        <v>14401489</v>
      </c>
      <c r="N23" s="337">
        <v>0</v>
      </c>
      <c r="O23" s="337">
        <v>0</v>
      </c>
      <c r="P23" s="337">
        <v>0</v>
      </c>
      <c r="Q23" s="337">
        <v>0</v>
      </c>
      <c r="R23" s="337">
        <v>0</v>
      </c>
    </row>
    <row r="24" spans="1:18" s="272" customFormat="1" ht="18.75">
      <c r="A24" s="338" t="s">
        <v>483</v>
      </c>
      <c r="B24" s="340">
        <v>100</v>
      </c>
      <c r="C24" s="337">
        <v>2868085</v>
      </c>
      <c r="D24" s="337">
        <v>0</v>
      </c>
      <c r="E24" s="337">
        <v>0</v>
      </c>
      <c r="F24" s="337">
        <v>0</v>
      </c>
      <c r="G24" s="337">
        <v>0</v>
      </c>
      <c r="H24" s="337">
        <v>0</v>
      </c>
      <c r="I24" s="337">
        <v>0</v>
      </c>
      <c r="J24" s="337">
        <v>0</v>
      </c>
      <c r="K24" s="337">
        <v>0</v>
      </c>
      <c r="L24" s="337">
        <v>0</v>
      </c>
      <c r="M24" s="337">
        <v>2868085</v>
      </c>
      <c r="N24" s="337">
        <v>0</v>
      </c>
      <c r="O24" s="337">
        <v>0</v>
      </c>
      <c r="P24" s="337">
        <v>0</v>
      </c>
      <c r="Q24" s="337">
        <v>0</v>
      </c>
      <c r="R24" s="337">
        <v>0</v>
      </c>
    </row>
    <row r="25" spans="1:18" s="272" customFormat="1" ht="18.75">
      <c r="A25" s="338" t="s">
        <v>480</v>
      </c>
      <c r="B25" s="340">
        <v>130</v>
      </c>
      <c r="C25" s="337">
        <v>8980054</v>
      </c>
      <c r="D25" s="337">
        <v>0</v>
      </c>
      <c r="E25" s="337">
        <v>0</v>
      </c>
      <c r="F25" s="337">
        <v>0</v>
      </c>
      <c r="G25" s="337">
        <v>0</v>
      </c>
      <c r="H25" s="337">
        <v>0</v>
      </c>
      <c r="I25" s="337">
        <v>0</v>
      </c>
      <c r="J25" s="337">
        <v>0</v>
      </c>
      <c r="K25" s="337">
        <v>0</v>
      </c>
      <c r="L25" s="337">
        <v>0</v>
      </c>
      <c r="M25" s="337">
        <v>8980054</v>
      </c>
      <c r="N25" s="337">
        <v>0</v>
      </c>
      <c r="O25" s="337">
        <v>0</v>
      </c>
      <c r="P25" s="337">
        <v>0</v>
      </c>
      <c r="Q25" s="337">
        <v>0</v>
      </c>
      <c r="R25" s="337">
        <v>0</v>
      </c>
    </row>
    <row r="26" spans="1:18" s="272" customFormat="1" ht="18.75">
      <c r="A26" s="338" t="s">
        <v>82</v>
      </c>
      <c r="B26" s="340">
        <v>200</v>
      </c>
      <c r="C26" s="337">
        <v>386500</v>
      </c>
      <c r="D26" s="337">
        <v>0</v>
      </c>
      <c r="E26" s="337">
        <v>0</v>
      </c>
      <c r="F26" s="337">
        <v>0</v>
      </c>
      <c r="G26" s="337">
        <v>0</v>
      </c>
      <c r="H26" s="337">
        <v>0</v>
      </c>
      <c r="I26" s="337">
        <v>0</v>
      </c>
      <c r="J26" s="337">
        <v>0</v>
      </c>
      <c r="K26" s="337">
        <v>0</v>
      </c>
      <c r="L26" s="337">
        <v>0</v>
      </c>
      <c r="M26" s="337">
        <v>386500</v>
      </c>
      <c r="N26" s="337">
        <v>0</v>
      </c>
      <c r="O26" s="337">
        <v>0</v>
      </c>
      <c r="P26" s="337">
        <v>0</v>
      </c>
      <c r="Q26" s="337">
        <v>0</v>
      </c>
      <c r="R26" s="337">
        <v>0</v>
      </c>
    </row>
    <row r="27" spans="1:18" s="272" customFormat="1" ht="18.75">
      <c r="A27" s="338" t="s">
        <v>456</v>
      </c>
      <c r="B27" s="340">
        <v>250</v>
      </c>
      <c r="C27" s="337">
        <v>2806550</v>
      </c>
      <c r="D27" s="337">
        <v>0</v>
      </c>
      <c r="E27" s="337">
        <v>0</v>
      </c>
      <c r="F27" s="337">
        <v>0</v>
      </c>
      <c r="G27" s="337">
        <v>36400</v>
      </c>
      <c r="H27" s="337">
        <v>0</v>
      </c>
      <c r="I27" s="337">
        <v>0</v>
      </c>
      <c r="J27" s="337">
        <v>0</v>
      </c>
      <c r="K27" s="337">
        <v>0</v>
      </c>
      <c r="L27" s="337">
        <v>0</v>
      </c>
      <c r="M27" s="337">
        <v>2806550</v>
      </c>
      <c r="N27" s="337">
        <v>0</v>
      </c>
      <c r="O27" s="337">
        <v>0</v>
      </c>
      <c r="P27" s="337">
        <v>0</v>
      </c>
      <c r="Q27" s="337">
        <v>0</v>
      </c>
      <c r="R27" s="337">
        <v>0</v>
      </c>
    </row>
    <row r="28" spans="1:18" s="272" customFormat="1" ht="18.75">
      <c r="A28" s="338" t="s">
        <v>89</v>
      </c>
      <c r="B28" s="340">
        <v>270</v>
      </c>
      <c r="C28" s="337">
        <v>1528543</v>
      </c>
      <c r="D28" s="337">
        <v>91</v>
      </c>
      <c r="E28" s="337">
        <v>0</v>
      </c>
      <c r="F28" s="337">
        <v>0</v>
      </c>
      <c r="G28" s="337">
        <v>0</v>
      </c>
      <c r="H28" s="337">
        <v>0</v>
      </c>
      <c r="I28" s="337">
        <v>0</v>
      </c>
      <c r="J28" s="337">
        <v>0</v>
      </c>
      <c r="K28" s="337">
        <v>0</v>
      </c>
      <c r="L28" s="337">
        <v>0</v>
      </c>
      <c r="M28" s="337">
        <v>1528543</v>
      </c>
      <c r="N28" s="337">
        <v>91</v>
      </c>
      <c r="O28" s="337">
        <v>0</v>
      </c>
      <c r="P28" s="337">
        <v>0</v>
      </c>
      <c r="Q28" s="337">
        <v>0</v>
      </c>
      <c r="R28" s="337">
        <v>0</v>
      </c>
    </row>
    <row r="29" spans="1:18" s="272" customFormat="1" ht="18.75">
      <c r="A29" s="338" t="s">
        <v>116</v>
      </c>
      <c r="B29" s="340">
        <v>300</v>
      </c>
      <c r="C29" s="337">
        <v>362833</v>
      </c>
      <c r="D29" s="337">
        <v>86</v>
      </c>
      <c r="E29" s="337">
        <v>0</v>
      </c>
      <c r="F29" s="337">
        <v>0</v>
      </c>
      <c r="G29" s="337">
        <v>0</v>
      </c>
      <c r="H29" s="337">
        <v>0</v>
      </c>
      <c r="I29" s="337">
        <v>0</v>
      </c>
      <c r="J29" s="337">
        <v>0</v>
      </c>
      <c r="K29" s="337">
        <v>0</v>
      </c>
      <c r="L29" s="337">
        <v>0</v>
      </c>
      <c r="M29" s="337">
        <v>362833</v>
      </c>
      <c r="N29" s="337">
        <v>86</v>
      </c>
      <c r="O29" s="337">
        <v>0</v>
      </c>
      <c r="P29" s="337">
        <v>0</v>
      </c>
      <c r="Q29" s="337">
        <v>0</v>
      </c>
      <c r="R29" s="337">
        <v>0</v>
      </c>
    </row>
    <row r="30" spans="1:18" s="272" customFormat="1" ht="18.75">
      <c r="A30" s="338" t="s">
        <v>481</v>
      </c>
      <c r="B30" s="340">
        <v>450</v>
      </c>
      <c r="C30" s="337">
        <v>316260</v>
      </c>
      <c r="D30" s="337">
        <v>0</v>
      </c>
      <c r="E30" s="337">
        <v>0</v>
      </c>
      <c r="F30" s="337">
        <v>0</v>
      </c>
      <c r="G30" s="337">
        <v>0</v>
      </c>
      <c r="H30" s="337">
        <v>0</v>
      </c>
      <c r="I30" s="337">
        <v>0</v>
      </c>
      <c r="J30" s="337">
        <v>0</v>
      </c>
      <c r="K30" s="337">
        <v>0</v>
      </c>
      <c r="L30" s="337">
        <v>0</v>
      </c>
      <c r="M30" s="337">
        <v>316260</v>
      </c>
      <c r="N30" s="337">
        <v>0</v>
      </c>
      <c r="O30" s="337">
        <v>0</v>
      </c>
      <c r="P30" s="337">
        <v>0</v>
      </c>
      <c r="Q30" s="337">
        <v>0</v>
      </c>
      <c r="R30" s="337">
        <v>0</v>
      </c>
    </row>
    <row r="31" spans="1:18" s="272" customFormat="1" ht="18.75">
      <c r="A31" s="338" t="s">
        <v>482</v>
      </c>
      <c r="B31" s="340">
        <v>500</v>
      </c>
      <c r="C31" s="337">
        <v>2535700</v>
      </c>
      <c r="D31" s="337">
        <v>0</v>
      </c>
      <c r="E31" s="337">
        <v>0</v>
      </c>
      <c r="F31" s="337">
        <v>0</v>
      </c>
      <c r="G31" s="337">
        <v>1273700</v>
      </c>
      <c r="H31" s="337">
        <v>0</v>
      </c>
      <c r="I31" s="337">
        <v>0</v>
      </c>
      <c r="J31" s="337">
        <v>0</v>
      </c>
      <c r="K31" s="337">
        <v>0</v>
      </c>
      <c r="L31" s="337">
        <v>0</v>
      </c>
      <c r="M31" s="337">
        <v>2535700</v>
      </c>
      <c r="N31" s="337">
        <v>0</v>
      </c>
      <c r="O31" s="337">
        <v>0</v>
      </c>
      <c r="P31" s="337">
        <v>0</v>
      </c>
      <c r="Q31" s="337">
        <v>0</v>
      </c>
      <c r="R31" s="337">
        <v>0</v>
      </c>
    </row>
    <row r="32" spans="1:18" s="272" customFormat="1" ht="18.75">
      <c r="A32" s="338" t="s">
        <v>454</v>
      </c>
      <c r="B32" s="340">
        <v>400</v>
      </c>
      <c r="C32" s="337">
        <v>1836000</v>
      </c>
      <c r="D32" s="337">
        <v>0</v>
      </c>
      <c r="E32" s="337">
        <v>0</v>
      </c>
      <c r="F32" s="337">
        <v>0</v>
      </c>
      <c r="G32" s="337"/>
      <c r="H32" s="337">
        <v>0</v>
      </c>
      <c r="I32" s="337">
        <v>0</v>
      </c>
      <c r="J32" s="337">
        <v>0</v>
      </c>
      <c r="K32" s="337">
        <v>0</v>
      </c>
      <c r="L32" s="337">
        <v>0</v>
      </c>
      <c r="M32" s="337">
        <v>1836000</v>
      </c>
      <c r="N32" s="337">
        <v>0</v>
      </c>
      <c r="O32" s="337">
        <v>0</v>
      </c>
      <c r="P32" s="337">
        <v>0</v>
      </c>
      <c r="Q32" s="337">
        <v>0</v>
      </c>
      <c r="R32" s="337">
        <v>0</v>
      </c>
    </row>
    <row r="33" spans="1:18" s="272" customFormat="1" ht="18.75">
      <c r="A33" s="338" t="s">
        <v>118</v>
      </c>
      <c r="B33" s="340">
        <v>550</v>
      </c>
      <c r="C33" s="337">
        <v>27000</v>
      </c>
      <c r="D33" s="337">
        <v>0</v>
      </c>
      <c r="E33" s="337">
        <v>0</v>
      </c>
      <c r="F33" s="337">
        <v>0</v>
      </c>
      <c r="G33" s="337">
        <v>27000</v>
      </c>
      <c r="H33" s="337">
        <v>0</v>
      </c>
      <c r="I33" s="337">
        <v>0</v>
      </c>
      <c r="J33" s="337">
        <v>0</v>
      </c>
      <c r="K33" s="337">
        <v>0</v>
      </c>
      <c r="L33" s="337">
        <v>0</v>
      </c>
      <c r="M33" s="337">
        <v>27000</v>
      </c>
      <c r="N33" s="337">
        <v>0</v>
      </c>
      <c r="O33" s="337">
        <v>0</v>
      </c>
      <c r="P33" s="337">
        <v>0</v>
      </c>
      <c r="Q33" s="337">
        <v>0</v>
      </c>
      <c r="R33" s="337">
        <v>0</v>
      </c>
    </row>
    <row r="34" spans="1:18" s="272" customFormat="1" ht="18.75">
      <c r="A34" s="338" t="s">
        <v>119</v>
      </c>
      <c r="B34" s="340">
        <v>821</v>
      </c>
      <c r="C34" s="337">
        <v>0</v>
      </c>
      <c r="D34" s="337">
        <v>0</v>
      </c>
      <c r="E34" s="337">
        <v>42969253</v>
      </c>
      <c r="F34" s="337">
        <v>35</v>
      </c>
      <c r="G34" s="337">
        <v>0</v>
      </c>
      <c r="H34" s="337">
        <v>0</v>
      </c>
      <c r="I34" s="337"/>
      <c r="J34" s="337"/>
      <c r="K34" s="337">
        <v>42969253</v>
      </c>
      <c r="L34" s="337">
        <v>35</v>
      </c>
      <c r="M34" s="337">
        <v>0</v>
      </c>
      <c r="N34" s="337">
        <v>0</v>
      </c>
      <c r="O34" s="337">
        <v>0</v>
      </c>
      <c r="P34" s="337">
        <v>0</v>
      </c>
      <c r="Q34" s="337">
        <v>0</v>
      </c>
      <c r="R34" s="337">
        <v>0</v>
      </c>
    </row>
    <row r="35" spans="1:18" s="272" customFormat="1" ht="18.75">
      <c r="A35" s="338" t="s">
        <v>1041</v>
      </c>
      <c r="B35" s="340">
        <v>900</v>
      </c>
      <c r="C35" s="337">
        <v>0</v>
      </c>
      <c r="D35" s="337">
        <v>0</v>
      </c>
      <c r="E35" s="337">
        <v>2380371</v>
      </c>
      <c r="F35" s="337">
        <v>55</v>
      </c>
      <c r="G35" s="337">
        <v>0</v>
      </c>
      <c r="H35" s="337">
        <v>0</v>
      </c>
      <c r="I35" s="337">
        <v>0</v>
      </c>
      <c r="J35" s="337">
        <v>0</v>
      </c>
      <c r="K35" s="337">
        <v>0</v>
      </c>
      <c r="L35" s="337">
        <v>0</v>
      </c>
      <c r="M35" s="337">
        <v>0</v>
      </c>
      <c r="N35" s="337">
        <v>0</v>
      </c>
      <c r="O35" s="337">
        <v>0</v>
      </c>
      <c r="P35" s="337">
        <v>0</v>
      </c>
      <c r="Q35" s="337">
        <v>2380371</v>
      </c>
      <c r="R35" s="337">
        <v>55</v>
      </c>
    </row>
    <row r="36" spans="1:18" s="272" customFormat="1" ht="18.75">
      <c r="A36" s="338" t="s">
        <v>1042</v>
      </c>
      <c r="B36" s="340">
        <v>600</v>
      </c>
      <c r="C36" s="337">
        <v>0</v>
      </c>
      <c r="D36" s="337">
        <v>0</v>
      </c>
      <c r="E36" s="337">
        <v>1439300</v>
      </c>
      <c r="F36" s="337">
        <v>0</v>
      </c>
      <c r="G36" s="337">
        <v>0</v>
      </c>
      <c r="H36" s="337">
        <v>0</v>
      </c>
      <c r="I36" s="337">
        <v>1439300</v>
      </c>
      <c r="J36" s="337">
        <v>0</v>
      </c>
      <c r="K36" s="337">
        <v>0</v>
      </c>
      <c r="L36" s="337">
        <v>0</v>
      </c>
      <c r="M36" s="337">
        <v>0</v>
      </c>
      <c r="N36" s="337">
        <v>0</v>
      </c>
      <c r="O36" s="337">
        <v>0</v>
      </c>
      <c r="P36" s="337">
        <v>0</v>
      </c>
      <c r="Q36" s="337">
        <v>1439300</v>
      </c>
      <c r="R36" s="337">
        <v>0</v>
      </c>
    </row>
    <row r="37" spans="1:18" s="272" customFormat="1" ht="18.75">
      <c r="A37" s="338" t="s">
        <v>104</v>
      </c>
      <c r="B37" s="340"/>
      <c r="C37" s="337">
        <v>0</v>
      </c>
      <c r="D37" s="337">
        <v>0</v>
      </c>
      <c r="E37" s="337">
        <v>42400</v>
      </c>
      <c r="F37" s="337">
        <v>0</v>
      </c>
      <c r="G37" s="337">
        <v>0</v>
      </c>
      <c r="H37" s="337">
        <v>0</v>
      </c>
      <c r="I37" s="337"/>
      <c r="J37" s="337">
        <v>0</v>
      </c>
      <c r="K37" s="337">
        <v>0</v>
      </c>
      <c r="L37" s="337">
        <v>0</v>
      </c>
      <c r="M37" s="337"/>
      <c r="N37" s="337">
        <v>0</v>
      </c>
      <c r="O37" s="337">
        <v>0</v>
      </c>
      <c r="P37" s="337">
        <v>0</v>
      </c>
      <c r="Q37" s="337">
        <v>42400</v>
      </c>
      <c r="R37" s="337">
        <v>0</v>
      </c>
    </row>
    <row r="38" spans="1:18" s="272" customFormat="1" ht="18.75">
      <c r="A38" s="338" t="s">
        <v>34</v>
      </c>
      <c r="B38" s="340">
        <v>700</v>
      </c>
      <c r="C38" s="337">
        <v>0</v>
      </c>
      <c r="D38" s="337">
        <v>0</v>
      </c>
      <c r="E38" s="337">
        <v>8725314</v>
      </c>
      <c r="F38" s="337">
        <v>86</v>
      </c>
      <c r="G38" s="337"/>
      <c r="H38" s="337"/>
      <c r="I38" s="337"/>
      <c r="J38" s="337"/>
      <c r="K38" s="337">
        <v>0</v>
      </c>
      <c r="L38" s="337">
        <v>0</v>
      </c>
      <c r="M38" s="337">
        <v>6920237</v>
      </c>
      <c r="N38" s="337">
        <v>58</v>
      </c>
      <c r="O38" s="337">
        <v>0</v>
      </c>
      <c r="P38" s="337">
        <v>0</v>
      </c>
      <c r="Q38" s="337">
        <v>13915493</v>
      </c>
      <c r="R38" s="337">
        <v>4</v>
      </c>
    </row>
    <row r="39" spans="1:18" s="272" customFormat="1" ht="18.75">
      <c r="A39" s="341" t="s">
        <v>1043</v>
      </c>
      <c r="B39" s="332">
        <v>703</v>
      </c>
      <c r="C39" s="342">
        <v>0</v>
      </c>
      <c r="D39" s="337">
        <v>0</v>
      </c>
      <c r="E39" s="337">
        <v>12970568</v>
      </c>
      <c r="F39" s="337">
        <v>45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37"/>
      <c r="N39" s="337"/>
      <c r="O39" s="337">
        <v>0</v>
      </c>
      <c r="P39" s="337">
        <v>0</v>
      </c>
      <c r="Q39" s="337">
        <v>14700627</v>
      </c>
      <c r="R39" s="337">
        <v>85</v>
      </c>
    </row>
    <row r="40" spans="2:18" s="272" customFormat="1" ht="19.5" thickBot="1">
      <c r="B40" s="343"/>
      <c r="C40" s="344">
        <f>SUM(C5:C39)+INT(SUM(D5:D39)/100)</f>
        <v>68527208</v>
      </c>
      <c r="D40" s="344">
        <f>MOD(SUM(D5:D39),100)</f>
        <v>21</v>
      </c>
      <c r="E40" s="344">
        <f>SUM(E5:E39)+INT(SUM(F5:F39)/100)</f>
        <v>68527208</v>
      </c>
      <c r="F40" s="344">
        <f>MOD(SUM(F5:F39),100)</f>
        <v>21</v>
      </c>
      <c r="G40" s="344">
        <f>SUM(G5:G39)+INT(SUM(H5:H39)/100)</f>
        <v>1439300</v>
      </c>
      <c r="H40" s="344">
        <f>MOD(SUM(H5:H39),100)</f>
        <v>0</v>
      </c>
      <c r="I40" s="344">
        <f>SUM(I5:I39)+INT(SUM(J5:J39)/100)</f>
        <v>1439300</v>
      </c>
      <c r="J40" s="344">
        <f>MOD(SUM(J5:J39),100)</f>
        <v>0</v>
      </c>
      <c r="K40" s="344">
        <f>SUM(K5:K39)+INT(SUM(L5:L39)/100)</f>
        <v>42969253</v>
      </c>
      <c r="L40" s="344">
        <f>MOD(SUM(L5:L39),100)</f>
        <v>35</v>
      </c>
      <c r="M40" s="344">
        <f>SUM(M5:M39)+INT(SUM(N5:N39)/100)</f>
        <v>42969253</v>
      </c>
      <c r="N40" s="344">
        <f>MOD(SUM(N5:N39),100)</f>
        <v>35</v>
      </c>
      <c r="O40" s="344">
        <f>SUM(O5:O39)+INT(SUM(P5:P39)/100)</f>
        <v>32478192</v>
      </c>
      <c r="P40" s="344">
        <f>MOD(SUM(P5:P39),100)</f>
        <v>44</v>
      </c>
      <c r="Q40" s="344">
        <f>SUM(Q5:Q39)+INT(SUM(R5:R39)/100)</f>
        <v>32478192</v>
      </c>
      <c r="R40" s="344">
        <f>MOD(SUM(R5:R39),100)</f>
        <v>44</v>
      </c>
    </row>
    <row r="41" ht="23.25" thickTop="1">
      <c r="B41" s="345"/>
    </row>
    <row r="42" ht="22.5">
      <c r="B42" s="345"/>
    </row>
    <row r="43" spans="1:13" ht="24.75">
      <c r="A43" s="346" t="s">
        <v>660</v>
      </c>
      <c r="B43" s="347" t="s">
        <v>1044</v>
      </c>
      <c r="C43" s="346"/>
      <c r="D43" s="346"/>
      <c r="E43" s="346" t="s">
        <v>1045</v>
      </c>
      <c r="F43" s="346"/>
      <c r="G43" s="346"/>
      <c r="H43" s="346"/>
      <c r="I43" s="346"/>
      <c r="J43" s="348"/>
      <c r="M43" s="346" t="s">
        <v>1046</v>
      </c>
    </row>
    <row r="44" spans="1:13" ht="23.25">
      <c r="A44" s="348"/>
      <c r="B44" s="349"/>
      <c r="C44" s="348"/>
      <c r="D44" s="348"/>
      <c r="E44" s="348"/>
      <c r="F44" s="348"/>
      <c r="G44" s="348"/>
      <c r="H44" s="348"/>
      <c r="I44" s="348"/>
      <c r="J44" s="348"/>
      <c r="M44" s="348"/>
    </row>
    <row r="45" spans="1:15" ht="23.25">
      <c r="A45" s="348" t="s">
        <v>661</v>
      </c>
      <c r="B45" s="349" t="s">
        <v>512</v>
      </c>
      <c r="C45" s="348"/>
      <c r="D45" s="348"/>
      <c r="E45" s="348" t="s">
        <v>662</v>
      </c>
      <c r="F45" s="348"/>
      <c r="G45" s="348"/>
      <c r="H45" s="348"/>
      <c r="I45" s="348"/>
      <c r="J45" s="348"/>
      <c r="K45" s="753" t="s">
        <v>1047</v>
      </c>
      <c r="L45" s="753"/>
      <c r="M45" s="753"/>
      <c r="N45" s="753"/>
      <c r="O45" s="753"/>
    </row>
    <row r="46" spans="1:15" ht="24.75">
      <c r="A46" s="348" t="s">
        <v>1048</v>
      </c>
      <c r="B46" s="349" t="s">
        <v>513</v>
      </c>
      <c r="C46" s="348"/>
      <c r="D46" s="348"/>
      <c r="E46" s="348" t="s">
        <v>1049</v>
      </c>
      <c r="F46" s="348"/>
      <c r="G46" s="348"/>
      <c r="H46" s="348"/>
      <c r="I46" s="348"/>
      <c r="J46" s="346"/>
      <c r="K46" s="754" t="s">
        <v>1050</v>
      </c>
      <c r="L46" s="754"/>
      <c r="M46" s="754"/>
      <c r="N46" s="754"/>
      <c r="O46" s="754"/>
    </row>
    <row r="47" ht="22.5">
      <c r="B47" s="345"/>
    </row>
    <row r="48" ht="22.5">
      <c r="B48" s="345"/>
    </row>
    <row r="49" spans="1:2" ht="22.5">
      <c r="A49" s="12" t="s">
        <v>26</v>
      </c>
      <c r="B49" s="351">
        <f>6400.5+13210.98+556720+1771540.07+32500</f>
        <v>2380371.55</v>
      </c>
    </row>
    <row r="50" ht="22.5">
      <c r="B50" s="345"/>
    </row>
    <row r="51" ht="22.5">
      <c r="B51" s="345"/>
    </row>
    <row r="52" ht="22.5">
      <c r="B52" s="345"/>
    </row>
    <row r="53" ht="22.5">
      <c r="B53" s="345"/>
    </row>
    <row r="54" ht="22.5">
      <c r="B54" s="345"/>
    </row>
    <row r="55" ht="22.5">
      <c r="B55" s="345"/>
    </row>
    <row r="56" ht="22.5">
      <c r="B56" s="345"/>
    </row>
    <row r="57" ht="22.5">
      <c r="B57" s="345"/>
    </row>
    <row r="58" ht="22.5">
      <c r="B58" s="345"/>
    </row>
    <row r="59" ht="22.5">
      <c r="B59" s="345"/>
    </row>
    <row r="60" ht="22.5">
      <c r="B60" s="345"/>
    </row>
    <row r="61" ht="22.5">
      <c r="B61" s="345"/>
    </row>
    <row r="62" ht="22.5">
      <c r="B62" s="345"/>
    </row>
    <row r="63" ht="22.5">
      <c r="B63" s="345"/>
    </row>
    <row r="64" ht="22.5">
      <c r="B64" s="345"/>
    </row>
    <row r="65" ht="22.5">
      <c r="B65" s="345"/>
    </row>
    <row r="66" ht="22.5">
      <c r="B66" s="345"/>
    </row>
    <row r="67" ht="22.5">
      <c r="B67" s="345"/>
    </row>
    <row r="68" ht="22.5">
      <c r="B68" s="345"/>
    </row>
    <row r="69" ht="22.5">
      <c r="B69" s="345"/>
    </row>
    <row r="70" ht="22.5">
      <c r="B70" s="345"/>
    </row>
    <row r="71" ht="22.5">
      <c r="B71" s="345"/>
    </row>
    <row r="72" ht="22.5">
      <c r="B72" s="345"/>
    </row>
    <row r="73" ht="22.5">
      <c r="B73" s="345"/>
    </row>
    <row r="74" ht="22.5">
      <c r="B74" s="345"/>
    </row>
    <row r="75" ht="22.5">
      <c r="B75" s="345"/>
    </row>
    <row r="76" ht="22.5">
      <c r="B76" s="345"/>
    </row>
    <row r="77" ht="22.5">
      <c r="B77" s="345"/>
    </row>
    <row r="78" ht="22.5">
      <c r="B78" s="345"/>
    </row>
    <row r="79" ht="22.5">
      <c r="B79" s="345"/>
    </row>
    <row r="80" ht="22.5">
      <c r="B80" s="345"/>
    </row>
    <row r="81" ht="22.5">
      <c r="B81" s="345"/>
    </row>
    <row r="82" ht="22.5">
      <c r="B82" s="345"/>
    </row>
    <row r="83" ht="22.5">
      <c r="B83" s="345"/>
    </row>
    <row r="84" ht="22.5">
      <c r="B84" s="345"/>
    </row>
    <row r="85" ht="22.5">
      <c r="B85" s="345"/>
    </row>
    <row r="86" ht="22.5">
      <c r="B86" s="345"/>
    </row>
    <row r="87" ht="22.5">
      <c r="B87" s="345"/>
    </row>
    <row r="88" ht="22.5">
      <c r="B88" s="345"/>
    </row>
    <row r="89" ht="22.5">
      <c r="B89" s="345"/>
    </row>
    <row r="90" ht="22.5">
      <c r="B90" s="345"/>
    </row>
    <row r="91" ht="22.5">
      <c r="B91" s="345"/>
    </row>
    <row r="92" ht="22.5">
      <c r="B92" s="345"/>
    </row>
    <row r="93" ht="22.5">
      <c r="B93" s="345"/>
    </row>
    <row r="94" ht="22.5">
      <c r="B94" s="345"/>
    </row>
    <row r="95" ht="22.5">
      <c r="B95" s="345"/>
    </row>
    <row r="96" ht="22.5">
      <c r="B96" s="345"/>
    </row>
    <row r="97" ht="22.5">
      <c r="B97" s="345"/>
    </row>
    <row r="98" ht="22.5">
      <c r="B98" s="345"/>
    </row>
    <row r="99" ht="22.5">
      <c r="B99" s="345"/>
    </row>
    <row r="100" ht="22.5">
      <c r="B100" s="345"/>
    </row>
    <row r="101" ht="22.5">
      <c r="B101" s="345"/>
    </row>
    <row r="102" ht="22.5">
      <c r="B102" s="345"/>
    </row>
    <row r="103" ht="22.5">
      <c r="B103" s="345"/>
    </row>
    <row r="104" ht="22.5">
      <c r="B104" s="345"/>
    </row>
    <row r="105" ht="22.5">
      <c r="B105" s="345"/>
    </row>
    <row r="106" ht="22.5">
      <c r="B106" s="345"/>
    </row>
    <row r="107" ht="22.5">
      <c r="B107" s="345"/>
    </row>
    <row r="108" ht="22.5">
      <c r="B108" s="345"/>
    </row>
    <row r="109" ht="22.5">
      <c r="B109" s="345"/>
    </row>
    <row r="110" ht="22.5">
      <c r="B110" s="345"/>
    </row>
    <row r="111" ht="22.5">
      <c r="B111" s="345"/>
    </row>
    <row r="112" ht="22.5">
      <c r="B112" s="345"/>
    </row>
    <row r="113" ht="22.5">
      <c r="B113" s="345"/>
    </row>
    <row r="114" ht="22.5">
      <c r="B114" s="345"/>
    </row>
    <row r="115" ht="22.5">
      <c r="B115" s="345"/>
    </row>
    <row r="116" ht="22.5">
      <c r="B116" s="345"/>
    </row>
    <row r="117" ht="22.5">
      <c r="B117" s="345"/>
    </row>
    <row r="118" ht="22.5">
      <c r="B118" s="345"/>
    </row>
    <row r="119" ht="22.5">
      <c r="B119" s="345"/>
    </row>
    <row r="120" ht="22.5">
      <c r="B120" s="345"/>
    </row>
    <row r="121" ht="22.5">
      <c r="B121" s="345"/>
    </row>
    <row r="122" ht="22.5">
      <c r="B122" s="345"/>
    </row>
    <row r="123" ht="22.5">
      <c r="B123" s="345"/>
    </row>
    <row r="124" ht="22.5">
      <c r="B124" s="345"/>
    </row>
    <row r="125" ht="22.5">
      <c r="B125" s="345"/>
    </row>
    <row r="126" ht="22.5">
      <c r="B126" s="345"/>
    </row>
    <row r="127" ht="22.5">
      <c r="B127" s="345"/>
    </row>
    <row r="128" ht="22.5">
      <c r="B128" s="345"/>
    </row>
    <row r="129" ht="22.5">
      <c r="B129" s="345"/>
    </row>
    <row r="130" ht="22.5">
      <c r="B130" s="345"/>
    </row>
    <row r="131" ht="22.5">
      <c r="B131" s="345"/>
    </row>
    <row r="132" ht="22.5">
      <c r="B132" s="345"/>
    </row>
    <row r="133" ht="22.5">
      <c r="B133" s="345"/>
    </row>
    <row r="134" ht="22.5">
      <c r="B134" s="345"/>
    </row>
    <row r="135" ht="22.5">
      <c r="B135" s="345"/>
    </row>
    <row r="136" ht="22.5">
      <c r="B136" s="345"/>
    </row>
    <row r="137" ht="22.5">
      <c r="B137" s="345"/>
    </row>
    <row r="138" ht="22.5">
      <c r="B138" s="345"/>
    </row>
    <row r="139" ht="22.5">
      <c r="B139" s="345"/>
    </row>
    <row r="140" ht="22.5">
      <c r="B140" s="345"/>
    </row>
  </sheetData>
  <sheetProtection/>
  <mergeCells count="16">
    <mergeCell ref="K45:O45"/>
    <mergeCell ref="K46:O46"/>
    <mergeCell ref="O4:P4"/>
    <mergeCell ref="Q4:R4"/>
    <mergeCell ref="C4:D4"/>
    <mergeCell ref="E4:F4"/>
    <mergeCell ref="G4:H4"/>
    <mergeCell ref="I4:J4"/>
    <mergeCell ref="K4:L4"/>
    <mergeCell ref="M4:N4"/>
    <mergeCell ref="A1:R1"/>
    <mergeCell ref="A2:R2"/>
    <mergeCell ref="C3:F3"/>
    <mergeCell ref="G3:J3"/>
    <mergeCell ref="K3:N3"/>
    <mergeCell ref="O3:R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44" sqref="K44"/>
    </sheetView>
  </sheetViews>
  <sheetFormatPr defaultColWidth="9.140625" defaultRowHeight="15"/>
  <cols>
    <col min="1" max="1" width="39.57421875" style="26" customWidth="1"/>
    <col min="2" max="2" width="16.7109375" style="26" customWidth="1"/>
    <col min="3" max="3" width="14.421875" style="27" customWidth="1"/>
    <col min="4" max="4" width="21.421875" style="26" customWidth="1"/>
    <col min="5" max="5" width="13.8515625" style="26" customWidth="1"/>
    <col min="6" max="6" width="16.140625" style="26" customWidth="1"/>
    <col min="7" max="7" width="12.28125" style="26" customWidth="1"/>
    <col min="8" max="8" width="11.57421875" style="26" customWidth="1"/>
    <col min="9" max="9" width="14.421875" style="27" customWidth="1"/>
    <col min="10" max="16384" width="9.00390625" style="26" customWidth="1"/>
  </cols>
  <sheetData>
    <row r="1" spans="1:9" s="118" customFormat="1" ht="24.75" customHeight="1">
      <c r="A1" s="633" t="s">
        <v>648</v>
      </c>
      <c r="B1" s="633"/>
      <c r="C1" s="633"/>
      <c r="D1" s="633"/>
      <c r="E1" s="633"/>
      <c r="F1" s="633"/>
      <c r="G1" s="167"/>
      <c r="H1" s="167"/>
      <c r="I1" s="141"/>
    </row>
    <row r="2" spans="1:9" s="118" customFormat="1" ht="24.75">
      <c r="A2" s="633" t="s">
        <v>62</v>
      </c>
      <c r="B2" s="633"/>
      <c r="C2" s="633"/>
      <c r="D2" s="633"/>
      <c r="E2" s="633"/>
      <c r="F2" s="633"/>
      <c r="G2" s="167"/>
      <c r="H2" s="167"/>
      <c r="I2" s="141"/>
    </row>
    <row r="3" spans="1:9" s="118" customFormat="1" ht="24.75">
      <c r="A3" s="633" t="s">
        <v>1073</v>
      </c>
      <c r="B3" s="633"/>
      <c r="C3" s="633"/>
      <c r="D3" s="633"/>
      <c r="E3" s="633"/>
      <c r="F3" s="633"/>
      <c r="G3" s="167"/>
      <c r="H3" s="167"/>
      <c r="I3" s="141"/>
    </row>
    <row r="4" spans="1:8" ht="21" customHeight="1">
      <c r="A4" s="411" t="s">
        <v>38</v>
      </c>
      <c r="B4" s="411"/>
      <c r="C4" s="412"/>
      <c r="D4" s="167"/>
      <c r="E4" s="167"/>
      <c r="F4" s="167"/>
      <c r="G4" s="168"/>
      <c r="H4" s="168"/>
    </row>
    <row r="5" spans="1:8" ht="24.75" customHeight="1">
      <c r="A5" s="625" t="s">
        <v>39</v>
      </c>
      <c r="B5" s="626" t="s">
        <v>40</v>
      </c>
      <c r="C5" s="627"/>
      <c r="D5" s="630" t="s">
        <v>41</v>
      </c>
      <c r="E5" s="631"/>
      <c r="F5" s="632"/>
      <c r="G5" s="168"/>
      <c r="H5" s="168"/>
    </row>
    <row r="6" spans="1:8" ht="24.75">
      <c r="A6" s="625"/>
      <c r="B6" s="628"/>
      <c r="C6" s="629"/>
      <c r="D6" s="413" t="s">
        <v>42</v>
      </c>
      <c r="E6" s="630" t="s">
        <v>43</v>
      </c>
      <c r="F6" s="632"/>
      <c r="G6" s="168"/>
      <c r="H6" s="168"/>
    </row>
    <row r="7" spans="1:8" ht="24.75">
      <c r="A7" s="414"/>
      <c r="B7" s="415" t="s">
        <v>879</v>
      </c>
      <c r="C7" s="415" t="s">
        <v>907</v>
      </c>
      <c r="D7" s="416"/>
      <c r="E7" s="415" t="s">
        <v>879</v>
      </c>
      <c r="F7" s="415" t="s">
        <v>880</v>
      </c>
      <c r="G7" s="168"/>
      <c r="H7" s="168"/>
    </row>
    <row r="8" spans="1:8" ht="24.75">
      <c r="A8" s="417" t="s">
        <v>44</v>
      </c>
      <c r="B8" s="418"/>
      <c r="C8" s="172"/>
      <c r="D8" s="289"/>
      <c r="E8" s="289"/>
      <c r="F8" s="289"/>
      <c r="G8" s="168"/>
      <c r="H8" s="168"/>
    </row>
    <row r="9" spans="1:8" ht="24.75">
      <c r="A9" s="169" t="s">
        <v>517</v>
      </c>
      <c r="B9" s="170">
        <v>1415000</v>
      </c>
      <c r="C9" s="170">
        <v>1415000</v>
      </c>
      <c r="D9" s="171" t="s">
        <v>58</v>
      </c>
      <c r="E9" s="172">
        <v>14800</v>
      </c>
      <c r="F9" s="172">
        <v>5687370</v>
      </c>
      <c r="G9" s="168"/>
      <c r="H9" s="168"/>
    </row>
    <row r="10" spans="1:8" ht="24.75">
      <c r="A10" s="169" t="s">
        <v>649</v>
      </c>
      <c r="B10" s="198">
        <v>1151700</v>
      </c>
      <c r="C10" s="198">
        <v>1151700</v>
      </c>
      <c r="D10" s="171" t="s">
        <v>34</v>
      </c>
      <c r="E10" s="172"/>
      <c r="F10" s="172">
        <v>5286569</v>
      </c>
      <c r="G10" s="168"/>
      <c r="H10" s="168"/>
    </row>
    <row r="11" spans="1:8" ht="24.75">
      <c r="A11" s="173" t="s">
        <v>518</v>
      </c>
      <c r="B11" s="376">
        <v>343000</v>
      </c>
      <c r="C11" s="170">
        <v>50000</v>
      </c>
      <c r="D11" s="171" t="s">
        <v>35</v>
      </c>
      <c r="E11" s="172"/>
      <c r="F11" s="172">
        <v>0</v>
      </c>
      <c r="G11" s="168"/>
      <c r="H11" s="168"/>
    </row>
    <row r="12" spans="1:8" ht="24.75">
      <c r="A12" s="174" t="s">
        <v>520</v>
      </c>
      <c r="B12" s="610">
        <v>629000</v>
      </c>
      <c r="C12" s="198">
        <v>50000</v>
      </c>
      <c r="D12" s="171" t="s">
        <v>59</v>
      </c>
      <c r="E12" s="172"/>
      <c r="F12" s="172">
        <v>0</v>
      </c>
      <c r="G12" s="168"/>
      <c r="H12" s="168"/>
    </row>
    <row r="13" spans="1:8" ht="24.75">
      <c r="A13" s="174" t="s">
        <v>268</v>
      </c>
      <c r="B13" s="170" t="s">
        <v>179</v>
      </c>
      <c r="C13" s="170" t="s">
        <v>179</v>
      </c>
      <c r="D13" s="171" t="s">
        <v>509</v>
      </c>
      <c r="E13" s="172"/>
      <c r="F13" s="172">
        <v>3000</v>
      </c>
      <c r="G13" s="168"/>
      <c r="H13" s="168"/>
    </row>
    <row r="14" spans="1:8" ht="24.75">
      <c r="A14" s="174" t="s">
        <v>521</v>
      </c>
      <c r="B14" s="170">
        <v>100000</v>
      </c>
      <c r="C14" s="170">
        <v>100000</v>
      </c>
      <c r="D14" s="171" t="s">
        <v>454</v>
      </c>
      <c r="E14" s="172">
        <v>594460</v>
      </c>
      <c r="F14" s="172">
        <v>8224189.08</v>
      </c>
      <c r="G14" s="168"/>
      <c r="H14" s="168"/>
    </row>
    <row r="15" spans="1:8" ht="24.75">
      <c r="A15" s="174" t="s">
        <v>522</v>
      </c>
      <c r="B15" s="170">
        <v>36594</v>
      </c>
      <c r="C15" s="170">
        <v>36594</v>
      </c>
      <c r="D15" s="171" t="s">
        <v>486</v>
      </c>
      <c r="E15" s="172"/>
      <c r="F15" s="172">
        <v>9316764.46</v>
      </c>
      <c r="G15" s="168"/>
      <c r="H15" s="168"/>
    </row>
    <row r="16" spans="1:8" ht="24.75">
      <c r="A16" s="174" t="s">
        <v>650</v>
      </c>
      <c r="B16" s="198">
        <v>22000</v>
      </c>
      <c r="C16" s="198">
        <v>22000</v>
      </c>
      <c r="D16" s="171"/>
      <c r="E16" s="175"/>
      <c r="F16" s="175"/>
      <c r="G16" s="168"/>
      <c r="H16" s="168"/>
    </row>
    <row r="17" spans="1:8" ht="24.75">
      <c r="A17" s="174" t="s">
        <v>269</v>
      </c>
      <c r="B17" s="170" t="s">
        <v>179</v>
      </c>
      <c r="C17" s="170" t="s">
        <v>179</v>
      </c>
      <c r="D17" s="171"/>
      <c r="E17" s="171"/>
      <c r="F17" s="171"/>
      <c r="G17" s="168">
        <f>SUM(G15:G16)</f>
        <v>0</v>
      </c>
      <c r="H17" s="168"/>
    </row>
    <row r="18" spans="1:8" ht="24.75">
      <c r="A18" s="174" t="s">
        <v>638</v>
      </c>
      <c r="B18" s="198">
        <v>528458.4</v>
      </c>
      <c r="C18" s="198">
        <v>528458.4</v>
      </c>
      <c r="D18" s="171"/>
      <c r="E18" s="171"/>
      <c r="F18" s="171"/>
      <c r="G18" s="168"/>
      <c r="H18" s="168"/>
    </row>
    <row r="19" spans="1:8" ht="24.75">
      <c r="A19" s="174" t="s">
        <v>651</v>
      </c>
      <c r="B19" s="170">
        <v>112000</v>
      </c>
      <c r="C19" s="170">
        <v>112000</v>
      </c>
      <c r="D19" s="171"/>
      <c r="E19" s="171"/>
      <c r="F19" s="171"/>
      <c r="G19" s="168"/>
      <c r="H19" s="168"/>
    </row>
    <row r="20" spans="1:8" ht="24.75">
      <c r="A20" s="174" t="s">
        <v>519</v>
      </c>
      <c r="B20" s="170">
        <v>98000</v>
      </c>
      <c r="C20" s="170">
        <v>98000</v>
      </c>
      <c r="D20" s="171"/>
      <c r="E20" s="171"/>
      <c r="F20" s="171"/>
      <c r="G20" s="168"/>
      <c r="H20" s="168"/>
    </row>
    <row r="21" spans="1:8" ht="24.75">
      <c r="A21" s="174" t="s">
        <v>640</v>
      </c>
      <c r="B21" s="170">
        <v>9544264.46</v>
      </c>
      <c r="C21" s="170">
        <v>9544264.46</v>
      </c>
      <c r="D21" s="171"/>
      <c r="E21" s="171"/>
      <c r="F21" s="171"/>
      <c r="G21" s="168"/>
      <c r="H21" s="168"/>
    </row>
    <row r="22" spans="1:8" ht="24.75">
      <c r="A22" s="174" t="s">
        <v>641</v>
      </c>
      <c r="B22" s="170">
        <v>3310000</v>
      </c>
      <c r="C22" s="170">
        <v>3310000</v>
      </c>
      <c r="D22" s="171"/>
      <c r="E22" s="171"/>
      <c r="F22" s="171"/>
      <c r="G22" s="168"/>
      <c r="H22" s="168"/>
    </row>
    <row r="23" spans="1:8" ht="24.75">
      <c r="A23" s="174" t="s">
        <v>642</v>
      </c>
      <c r="B23" s="198">
        <v>1294500</v>
      </c>
      <c r="C23" s="198">
        <v>1294500</v>
      </c>
      <c r="D23" s="171"/>
      <c r="E23" s="171"/>
      <c r="F23" s="171"/>
      <c r="G23" s="168"/>
      <c r="H23" s="168"/>
    </row>
    <row r="24" spans="1:8" ht="24.75">
      <c r="A24" s="176" t="s">
        <v>60</v>
      </c>
      <c r="B24" s="611">
        <f>SUM(B9:B23)</f>
        <v>18584516.86</v>
      </c>
      <c r="C24" s="612">
        <f>SUM(C9:C23)</f>
        <v>17712516.86</v>
      </c>
      <c r="D24" s="171"/>
      <c r="E24" s="171"/>
      <c r="F24" s="171"/>
      <c r="G24" s="168"/>
      <c r="H24" s="168"/>
    </row>
    <row r="25" spans="1:8" ht="24.75">
      <c r="A25" s="177" t="s">
        <v>45</v>
      </c>
      <c r="B25" s="375"/>
      <c r="C25" s="175"/>
      <c r="D25" s="171"/>
      <c r="E25" s="171"/>
      <c r="F25" s="171"/>
      <c r="G25" s="168"/>
      <c r="H25" s="168"/>
    </row>
    <row r="26" spans="1:8" ht="24.75">
      <c r="A26" s="171" t="s">
        <v>46</v>
      </c>
      <c r="B26" s="175">
        <v>4463500</v>
      </c>
      <c r="C26" s="175">
        <v>4463500</v>
      </c>
      <c r="D26" s="171"/>
      <c r="E26" s="171"/>
      <c r="F26" s="171"/>
      <c r="G26" s="168"/>
      <c r="H26" s="168"/>
    </row>
    <row r="27" spans="1:8" ht="24.75">
      <c r="A27" s="171" t="s">
        <v>47</v>
      </c>
      <c r="B27" s="175">
        <v>4281328.68</v>
      </c>
      <c r="C27" s="172">
        <v>4099728.68</v>
      </c>
      <c r="D27" s="171"/>
      <c r="E27" s="171"/>
      <c r="F27" s="171"/>
      <c r="G27" s="168"/>
      <c r="H27" s="168"/>
    </row>
    <row r="28" spans="1:8" ht="24.75">
      <c r="A28" s="171" t="s">
        <v>48</v>
      </c>
      <c r="B28" s="175">
        <v>148300</v>
      </c>
      <c r="C28" s="175">
        <v>148300</v>
      </c>
      <c r="D28" s="171"/>
      <c r="E28" s="171"/>
      <c r="F28" s="171"/>
      <c r="G28" s="168"/>
      <c r="H28" s="168"/>
    </row>
    <row r="29" spans="1:8" ht="24.75">
      <c r="A29" s="171" t="s">
        <v>49</v>
      </c>
      <c r="B29" s="175">
        <v>75960</v>
      </c>
      <c r="C29" s="175">
        <v>0</v>
      </c>
      <c r="D29" s="171"/>
      <c r="E29" s="171"/>
      <c r="F29" s="171"/>
      <c r="G29" s="168"/>
      <c r="H29" s="168"/>
    </row>
    <row r="30" spans="1:8" ht="24.75">
      <c r="A30" s="171" t="s">
        <v>50</v>
      </c>
      <c r="B30" s="175">
        <v>0</v>
      </c>
      <c r="C30" s="175">
        <v>0</v>
      </c>
      <c r="D30" s="171"/>
      <c r="E30" s="171"/>
      <c r="F30" s="171"/>
      <c r="G30" s="168"/>
      <c r="H30" s="168"/>
    </row>
    <row r="31" spans="1:8" ht="24.75">
      <c r="A31" s="171" t="s">
        <v>51</v>
      </c>
      <c r="B31" s="175">
        <v>12000</v>
      </c>
      <c r="C31" s="175">
        <v>12000</v>
      </c>
      <c r="D31" s="171"/>
      <c r="E31" s="171"/>
      <c r="F31" s="171"/>
      <c r="G31" s="168"/>
      <c r="H31" s="168"/>
    </row>
    <row r="32" spans="1:8" ht="24.75">
      <c r="A32" s="171" t="s">
        <v>52</v>
      </c>
      <c r="B32" s="175">
        <v>0</v>
      </c>
      <c r="C32" s="175">
        <v>0</v>
      </c>
      <c r="D32" s="171"/>
      <c r="E32" s="171"/>
      <c r="F32" s="171"/>
      <c r="G32" s="168"/>
      <c r="H32" s="168"/>
    </row>
    <row r="33" spans="1:8" ht="24.75">
      <c r="A33" s="171" t="s">
        <v>53</v>
      </c>
      <c r="B33" s="175">
        <v>101500</v>
      </c>
      <c r="C33" s="175">
        <v>101500</v>
      </c>
      <c r="D33" s="171"/>
      <c r="E33" s="171"/>
      <c r="F33" s="171"/>
      <c r="G33" s="168"/>
      <c r="H33" s="168"/>
    </row>
    <row r="34" spans="1:8" ht="24.75">
      <c r="A34" s="171" t="s">
        <v>54</v>
      </c>
      <c r="B34" s="175">
        <v>0</v>
      </c>
      <c r="C34" s="175">
        <v>0</v>
      </c>
      <c r="D34" s="171"/>
      <c r="E34" s="171"/>
      <c r="F34" s="171"/>
      <c r="G34" s="168"/>
      <c r="H34" s="168"/>
    </row>
    <row r="35" spans="1:8" ht="24.75">
      <c r="A35" s="171" t="s">
        <v>55</v>
      </c>
      <c r="B35" s="175">
        <v>0</v>
      </c>
      <c r="C35" s="175">
        <v>0</v>
      </c>
      <c r="D35" s="171"/>
      <c r="E35" s="171"/>
      <c r="F35" s="171"/>
      <c r="G35" s="168"/>
      <c r="H35" s="168"/>
    </row>
    <row r="36" spans="1:8" ht="24.75">
      <c r="A36" s="171" t="s">
        <v>56</v>
      </c>
      <c r="B36" s="175">
        <v>679173</v>
      </c>
      <c r="C36" s="175">
        <v>664373</v>
      </c>
      <c r="D36" s="171"/>
      <c r="E36" s="171"/>
      <c r="F36" s="171"/>
      <c r="G36" s="168"/>
      <c r="H36" s="168"/>
    </row>
    <row r="37" spans="1:8" ht="24.75">
      <c r="A37" s="171" t="s">
        <v>652</v>
      </c>
      <c r="B37" s="175">
        <v>187474</v>
      </c>
      <c r="C37" s="175">
        <v>187474</v>
      </c>
      <c r="D37" s="171"/>
      <c r="E37" s="171"/>
      <c r="F37" s="171"/>
      <c r="G37" s="168"/>
      <c r="H37" s="168"/>
    </row>
    <row r="38" spans="1:8" ht="24.75">
      <c r="A38" s="171" t="s">
        <v>57</v>
      </c>
      <c r="B38" s="175">
        <v>0</v>
      </c>
      <c r="C38" s="175">
        <v>0</v>
      </c>
      <c r="D38" s="171"/>
      <c r="E38" s="171"/>
      <c r="F38" s="171"/>
      <c r="G38" s="168"/>
      <c r="H38" s="168"/>
    </row>
    <row r="39" spans="1:8" ht="24.75">
      <c r="A39" s="171" t="s">
        <v>508</v>
      </c>
      <c r="B39" s="175">
        <v>172000</v>
      </c>
      <c r="C39" s="175">
        <v>172000</v>
      </c>
      <c r="D39" s="171"/>
      <c r="E39" s="171"/>
      <c r="F39" s="171"/>
      <c r="G39" s="168"/>
      <c r="H39" s="168"/>
    </row>
    <row r="40" spans="1:8" ht="24.75">
      <c r="A40" s="171" t="s">
        <v>653</v>
      </c>
      <c r="B40" s="175">
        <v>377500</v>
      </c>
      <c r="C40" s="175">
        <v>377500</v>
      </c>
      <c r="D40" s="171"/>
      <c r="E40" s="171"/>
      <c r="F40" s="171"/>
      <c r="G40" s="168"/>
      <c r="H40" s="168"/>
    </row>
    <row r="41" spans="1:8" ht="24.75">
      <c r="A41" s="171" t="s">
        <v>510</v>
      </c>
      <c r="B41" s="175">
        <v>43900</v>
      </c>
      <c r="C41" s="175">
        <v>0</v>
      </c>
      <c r="D41" s="171"/>
      <c r="E41" s="171"/>
      <c r="F41" s="171"/>
      <c r="G41" s="168"/>
      <c r="H41" s="168"/>
    </row>
    <row r="42" spans="1:8" ht="27" customHeight="1">
      <c r="A42" s="176" t="s">
        <v>60</v>
      </c>
      <c r="B42" s="611">
        <f>SUM(B26:B41)</f>
        <v>10542635.68</v>
      </c>
      <c r="C42" s="178">
        <f>SUM(C26:C41)</f>
        <v>10226375.68</v>
      </c>
      <c r="D42" s="171"/>
      <c r="E42" s="171"/>
      <c r="F42" s="171"/>
      <c r="G42" s="168"/>
      <c r="H42" s="168"/>
    </row>
    <row r="43" spans="1:8" ht="27.75" customHeight="1" thickBot="1">
      <c r="A43" s="179" t="s">
        <v>72</v>
      </c>
      <c r="B43" s="384">
        <f>B24+B42</f>
        <v>29127152.54</v>
      </c>
      <c r="C43" s="206">
        <f>C24+C42</f>
        <v>27938892.54</v>
      </c>
      <c r="D43" s="207"/>
      <c r="E43" s="208">
        <f>SUM(E9:E42)</f>
        <v>609260</v>
      </c>
      <c r="F43" s="208">
        <f>SUM(F9:F42)</f>
        <v>28517892.54</v>
      </c>
      <c r="G43" s="168"/>
      <c r="H43" s="168"/>
    </row>
    <row r="44" spans="1:6" ht="25.5" thickTop="1">
      <c r="A44" s="28" t="s">
        <v>881</v>
      </c>
      <c r="E44" s="27"/>
      <c r="F44" s="27"/>
    </row>
    <row r="45" ht="24.75">
      <c r="A45" s="26" t="s">
        <v>882</v>
      </c>
    </row>
    <row r="46" ht="24.75">
      <c r="A46" s="26" t="s">
        <v>883</v>
      </c>
    </row>
    <row r="47" ht="24.75">
      <c r="A47" s="26" t="s">
        <v>884</v>
      </c>
    </row>
    <row r="48" ht="24.75">
      <c r="A48" s="26" t="s">
        <v>885</v>
      </c>
    </row>
  </sheetData>
  <sheetProtection/>
  <mergeCells count="7">
    <mergeCell ref="A5:A6"/>
    <mergeCell ref="B5:C6"/>
    <mergeCell ref="D5:F5"/>
    <mergeCell ref="E6:F6"/>
    <mergeCell ref="A2:F2"/>
    <mergeCell ref="A1:F1"/>
    <mergeCell ref="A3:F3"/>
  </mergeCells>
  <printOptions horizontalCentered="1"/>
  <pageMargins left="0.7086614173228347" right="0" top="0" bottom="0" header="0.1968503937007874" footer="0.15748031496062992"/>
  <pageSetup horizontalDpi="600" verticalDpi="600" orientation="portrait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6" sqref="C6"/>
    </sheetView>
  </sheetViews>
  <sheetFormatPr defaultColWidth="40.28125" defaultRowHeight="15"/>
  <cols>
    <col min="1" max="1" width="44.7109375" style="10" customWidth="1"/>
    <col min="2" max="2" width="14.57421875" style="10" customWidth="1"/>
    <col min="3" max="3" width="14.00390625" style="10" customWidth="1"/>
    <col min="4" max="16384" width="40.28125" style="10" customWidth="1"/>
  </cols>
  <sheetData>
    <row r="1" spans="1:3" s="102" customFormat="1" ht="27.75">
      <c r="A1" s="756" t="s">
        <v>360</v>
      </c>
      <c r="B1" s="756"/>
      <c r="C1" s="756"/>
    </row>
    <row r="2" spans="1:3" s="102" customFormat="1" ht="27.75">
      <c r="A2" s="756" t="s">
        <v>285</v>
      </c>
      <c r="B2" s="756"/>
      <c r="C2" s="756"/>
    </row>
    <row r="3" spans="1:3" s="102" customFormat="1" ht="27.75">
      <c r="A3" s="756" t="s">
        <v>1102</v>
      </c>
      <c r="B3" s="756"/>
      <c r="C3" s="756"/>
    </row>
    <row r="4" spans="1:3" ht="24.75">
      <c r="A4" s="25"/>
      <c r="B4" s="25"/>
      <c r="C4" s="25"/>
    </row>
    <row r="5" spans="1:3" ht="24.75">
      <c r="A5" s="62" t="s">
        <v>286</v>
      </c>
      <c r="B5" s="63"/>
      <c r="C5" s="63">
        <v>6920237.58</v>
      </c>
    </row>
    <row r="6" spans="1:3" ht="24.75">
      <c r="A6" s="62"/>
      <c r="B6" s="63"/>
      <c r="C6" s="63"/>
    </row>
    <row r="7" spans="1:3" ht="25.5" thickBot="1">
      <c r="A7" s="62" t="s">
        <v>287</v>
      </c>
      <c r="B7" s="63"/>
      <c r="C7" s="64">
        <f>C5*25%</f>
        <v>1730059.395</v>
      </c>
    </row>
    <row r="8" spans="1:3" ht="25.5" thickTop="1">
      <c r="A8" s="65"/>
      <c r="B8" s="66"/>
      <c r="C8" s="67"/>
    </row>
    <row r="9" spans="1:3" ht="24.75">
      <c r="A9" s="65"/>
      <c r="B9" s="66"/>
      <c r="C9" s="66"/>
    </row>
    <row r="10" spans="1:3" ht="24.75">
      <c r="A10" s="65"/>
      <c r="B10" s="66"/>
      <c r="C10" s="66"/>
    </row>
  </sheetData>
  <sheetProtection/>
  <mergeCells count="3">
    <mergeCell ref="A1:C1"/>
    <mergeCell ref="A2:C2"/>
    <mergeCell ref="A3:C3"/>
  </mergeCells>
  <printOptions/>
  <pageMargins left="0.93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P59"/>
  <sheetViews>
    <sheetView zoomScale="120" zoomScaleNormal="120" zoomScalePageLayoutView="0" workbookViewId="0" topLeftCell="A1">
      <selection activeCell="M16" sqref="M16"/>
    </sheetView>
  </sheetViews>
  <sheetFormatPr defaultColWidth="9.140625" defaultRowHeight="15"/>
  <cols>
    <col min="1" max="1" width="26.8515625" style="84" customWidth="1"/>
    <col min="2" max="2" width="14.421875" style="84" customWidth="1"/>
    <col min="3" max="3" width="10.57421875" style="97" customWidth="1"/>
    <col min="4" max="4" width="12.28125" style="97" customWidth="1"/>
    <col min="5" max="5" width="9.421875" style="97" bestFit="1" customWidth="1"/>
    <col min="6" max="6" width="11.28125" style="97" customWidth="1"/>
    <col min="7" max="7" width="9.7109375" style="97" customWidth="1"/>
    <col min="8" max="8" width="9.8515625" style="97" bestFit="1" customWidth="1"/>
    <col min="9" max="9" width="10.140625" style="97" bestFit="1" customWidth="1"/>
    <col min="10" max="10" width="10.57421875" style="97" customWidth="1"/>
    <col min="11" max="11" width="9.7109375" style="97" bestFit="1" customWidth="1"/>
    <col min="12" max="12" width="9.57421875" style="97" bestFit="1" customWidth="1"/>
    <col min="13" max="13" width="9.8515625" style="97" bestFit="1" customWidth="1"/>
    <col min="14" max="14" width="9.421875" style="97" bestFit="1" customWidth="1"/>
    <col min="15" max="15" width="12.00390625" style="97" customWidth="1"/>
    <col min="16" max="16384" width="9.00390625" style="84" customWidth="1"/>
  </cols>
  <sheetData>
    <row r="2" spans="1:14" ht="22.5">
      <c r="A2" s="362" t="s">
        <v>1067</v>
      </c>
      <c r="B2" s="367" t="s">
        <v>657</v>
      </c>
      <c r="C2" s="97" t="s">
        <v>658</v>
      </c>
      <c r="D2" s="97" t="s">
        <v>294</v>
      </c>
      <c r="E2" s="97" t="s">
        <v>295</v>
      </c>
      <c r="F2" s="97" t="s">
        <v>659</v>
      </c>
      <c r="G2" s="97" t="s">
        <v>297</v>
      </c>
      <c r="H2" s="97" t="s">
        <v>297</v>
      </c>
      <c r="I2" s="97" t="s">
        <v>298</v>
      </c>
      <c r="J2" s="97" t="s">
        <v>299</v>
      </c>
      <c r="K2" s="97" t="s">
        <v>300</v>
      </c>
      <c r="L2" s="97" t="s">
        <v>301</v>
      </c>
      <c r="M2" s="97" t="s">
        <v>302</v>
      </c>
      <c r="N2" s="97" t="s">
        <v>303</v>
      </c>
    </row>
    <row r="3" spans="1:15" ht="22.5">
      <c r="A3" s="363" t="s">
        <v>614</v>
      </c>
      <c r="B3" s="368"/>
      <c r="C3" s="97">
        <f>21731.83+1001.83</f>
        <v>22733.660000000003</v>
      </c>
      <c r="D3" s="366">
        <f>12136.39+965.46+17539.48+962.12</f>
        <v>31603.449999999997</v>
      </c>
      <c r="E3" s="366">
        <v>0</v>
      </c>
      <c r="F3" s="366">
        <f>12348.56+899.33+678.38</f>
        <v>13926.269999999999</v>
      </c>
      <c r="G3" s="372">
        <f>13169.05+1084.45</f>
        <v>14253.5</v>
      </c>
      <c r="H3" s="97">
        <f>21925.92+1048.11</f>
        <v>22974.03</v>
      </c>
      <c r="I3" s="97">
        <f>17637.38+922.48</f>
        <v>18559.86</v>
      </c>
      <c r="J3" s="97">
        <f>935.69+20240.14</f>
        <v>21175.829999999998</v>
      </c>
      <c r="K3" s="97">
        <f>20932.02+853.06</f>
        <v>21785.08</v>
      </c>
      <c r="L3" s="97">
        <f>19228.15+833.22</f>
        <v>20061.370000000003</v>
      </c>
      <c r="M3" s="97">
        <f>15743.93+833.21</f>
        <v>16577.14</v>
      </c>
      <c r="N3" s="97">
        <f>15928.57+833.22</f>
        <v>16761.79</v>
      </c>
      <c r="O3" s="97">
        <f>SUM(C3:N3)</f>
        <v>220411.98</v>
      </c>
    </row>
    <row r="4" spans="1:16" ht="22.5">
      <c r="A4" s="363" t="s">
        <v>800</v>
      </c>
      <c r="B4" s="366">
        <v>712.62</v>
      </c>
      <c r="C4" s="97">
        <v>599.2</v>
      </c>
      <c r="D4" s="366">
        <v>577.8</v>
      </c>
      <c r="E4" s="366">
        <v>620.6</v>
      </c>
      <c r="F4" s="366">
        <v>577.8</v>
      </c>
      <c r="G4" s="366">
        <v>643.61</v>
      </c>
      <c r="H4" s="373"/>
      <c r="I4" s="97">
        <v>735.63</v>
      </c>
      <c r="J4" s="97">
        <v>535</v>
      </c>
      <c r="K4" s="97">
        <v>643.61</v>
      </c>
      <c r="L4" s="97">
        <v>643.61</v>
      </c>
      <c r="M4" s="97">
        <v>735.63</v>
      </c>
      <c r="N4" s="97">
        <v>643.61</v>
      </c>
      <c r="O4" s="97">
        <f>SUM(C4:N4)</f>
        <v>6956.0999999999985</v>
      </c>
      <c r="P4" s="84">
        <v>641.61</v>
      </c>
    </row>
    <row r="5" spans="1:15" ht="22.5">
      <c r="A5" s="363" t="s">
        <v>615</v>
      </c>
      <c r="B5" s="97">
        <v>460.1</v>
      </c>
      <c r="C5" s="97">
        <v>273.92</v>
      </c>
      <c r="D5" s="366">
        <v>245.03</v>
      </c>
      <c r="E5" s="366">
        <v>350.96</v>
      </c>
      <c r="F5" s="366">
        <v>107</v>
      </c>
      <c r="G5" s="97">
        <v>0</v>
      </c>
      <c r="H5" s="97">
        <v>107</v>
      </c>
      <c r="I5" s="97">
        <v>347.75</v>
      </c>
      <c r="J5" s="97">
        <v>139.1</v>
      </c>
      <c r="K5" s="97">
        <v>126.26</v>
      </c>
      <c r="L5" s="97">
        <v>281.95</v>
      </c>
      <c r="M5" s="97">
        <v>107</v>
      </c>
      <c r="N5" s="97">
        <v>235.4</v>
      </c>
      <c r="O5" s="97">
        <f>SUM(C5:N5)</f>
        <v>2321.3700000000003</v>
      </c>
    </row>
    <row r="6" spans="1:15" ht="22.5">
      <c r="A6" s="363" t="s">
        <v>616</v>
      </c>
      <c r="B6" s="366">
        <v>892</v>
      </c>
      <c r="C6" s="97">
        <v>576</v>
      </c>
      <c r="D6" s="366">
        <v>153</v>
      </c>
      <c r="E6" s="97">
        <v>0</v>
      </c>
      <c r="F6" s="366">
        <v>98</v>
      </c>
      <c r="G6" s="366">
        <v>427</v>
      </c>
      <c r="H6" s="97">
        <v>140</v>
      </c>
      <c r="I6" s="97">
        <v>494</v>
      </c>
      <c r="J6" s="97">
        <v>912</v>
      </c>
      <c r="K6" s="97">
        <v>126</v>
      </c>
      <c r="L6" s="97">
        <v>272</v>
      </c>
      <c r="M6" s="97">
        <v>3108</v>
      </c>
      <c r="O6" s="97">
        <f>SUM(C6:N6)</f>
        <v>6306</v>
      </c>
    </row>
    <row r="7" spans="1:15" ht="22.5">
      <c r="A7" s="364" t="s">
        <v>617</v>
      </c>
      <c r="B7" s="97">
        <f>481.5+631.3+6792.36</f>
        <v>7905.16</v>
      </c>
      <c r="C7" s="97">
        <f>481.5+631.3+6809.48</f>
        <v>7922.28</v>
      </c>
      <c r="D7" s="366">
        <f>6875.82+481.5+631.3</f>
        <v>7988.62</v>
      </c>
      <c r="E7" s="366">
        <f>481.5+6736.72+631.3</f>
        <v>7849.52</v>
      </c>
      <c r="F7" s="366">
        <f>6766.68+481.5+631.3</f>
        <v>7879.4800000000005</v>
      </c>
      <c r="G7" s="97">
        <v>0</v>
      </c>
      <c r="H7" s="97">
        <f>481.5+631.3+6837.3</f>
        <v>7950.1</v>
      </c>
      <c r="I7" s="97">
        <f>631.3+481.5+6781.66</f>
        <v>7894.46</v>
      </c>
      <c r="J7" s="97">
        <f>631.3+6790.22+481.5</f>
        <v>7903.02</v>
      </c>
      <c r="K7" s="97">
        <f>631.3+481.5+6818.04</f>
        <v>7930.84</v>
      </c>
      <c r="L7" s="97">
        <f>631.3+6792.36+481.5</f>
        <v>7905.16</v>
      </c>
      <c r="M7" s="97">
        <f>6841.58+481.5+631.3+7000</f>
        <v>14954.380000000001</v>
      </c>
      <c r="N7" s="97">
        <f>481.5+6734.58+631.3</f>
        <v>7847.38</v>
      </c>
      <c r="O7" s="97">
        <f>SUM(C7:N7)</f>
        <v>94025.24</v>
      </c>
    </row>
    <row r="8" ht="22.5">
      <c r="D8" s="371"/>
    </row>
    <row r="9" spans="1:4" ht="22.5">
      <c r="A9" s="362" t="s">
        <v>1068</v>
      </c>
      <c r="B9" s="367"/>
      <c r="D9" s="371"/>
    </row>
    <row r="10" spans="1:15" ht="22.5">
      <c r="A10" s="363" t="s">
        <v>614</v>
      </c>
      <c r="B10" s="368"/>
      <c r="C10" s="97">
        <f>241.11+320.45+993</f>
        <v>1554.56</v>
      </c>
      <c r="D10" s="366">
        <f>217.97+244.42+797.37+198.14+241.11+701.75</f>
        <v>2400.76</v>
      </c>
      <c r="E10" s="366"/>
      <c r="F10" s="366">
        <f>122.11+244.42+840.84</f>
        <v>1207.37</v>
      </c>
      <c r="G10" s="366">
        <f>141.96+888.67+217.97</f>
        <v>1248.6</v>
      </c>
      <c r="H10" s="97">
        <f>1010.39+224.58+290.71</f>
        <v>1525.68</v>
      </c>
      <c r="I10" s="97">
        <f>845.2+208.08+287.39</f>
        <v>1340.67</v>
      </c>
      <c r="J10" s="97">
        <f>317.14+188.23+888.67</f>
        <v>1394.04</v>
      </c>
      <c r="K10" s="97">
        <f>949.53+307.24+277.48</f>
        <v>1534.25</v>
      </c>
      <c r="L10" s="97">
        <f>1075.59+294+274.17</f>
        <v>1643.76</v>
      </c>
      <c r="M10" s="97">
        <f>224.58+241.11+1045.17+1136.47+300.62+307.24</f>
        <v>3255.1899999999996</v>
      </c>
      <c r="O10" s="97">
        <f>SUM(C10:N10)</f>
        <v>17104.88</v>
      </c>
    </row>
    <row r="11" spans="1:15" ht="22.5">
      <c r="A11" s="363" t="s">
        <v>800</v>
      </c>
      <c r="B11" s="366">
        <v>535</v>
      </c>
      <c r="C11" s="97">
        <v>386.27</v>
      </c>
      <c r="D11" s="366">
        <v>577.8</v>
      </c>
      <c r="E11" s="366">
        <v>365.94</v>
      </c>
      <c r="F11" s="366">
        <v>428</v>
      </c>
      <c r="G11" s="366">
        <v>492.2</v>
      </c>
      <c r="H11" s="97">
        <v>0</v>
      </c>
      <c r="I11" s="97">
        <v>556.4</v>
      </c>
      <c r="J11" s="97">
        <v>449.4</v>
      </c>
      <c r="K11" s="97">
        <v>449.4</v>
      </c>
      <c r="L11" s="97">
        <v>535</v>
      </c>
      <c r="M11" s="97">
        <v>428</v>
      </c>
      <c r="N11" s="97">
        <v>535</v>
      </c>
      <c r="O11" s="97">
        <f>SUM(C11:N11)</f>
        <v>5203.41</v>
      </c>
    </row>
    <row r="12" spans="2:15" ht="22.5">
      <c r="B12" s="369">
        <f aca="true" t="shared" si="0" ref="B12:O12">SUM(B3:B11)</f>
        <v>10504.880000000001</v>
      </c>
      <c r="C12" s="97">
        <f t="shared" si="0"/>
        <v>34045.89</v>
      </c>
      <c r="D12" s="97">
        <f t="shared" si="0"/>
        <v>43546.46</v>
      </c>
      <c r="E12" s="97">
        <f t="shared" si="0"/>
        <v>9187.02</v>
      </c>
      <c r="F12" s="97">
        <f t="shared" si="0"/>
        <v>24223.92</v>
      </c>
      <c r="G12" s="97">
        <f t="shared" si="0"/>
        <v>17064.91</v>
      </c>
      <c r="H12" s="97">
        <f t="shared" si="0"/>
        <v>32696.809999999998</v>
      </c>
      <c r="I12" s="97">
        <f t="shared" si="0"/>
        <v>29928.770000000004</v>
      </c>
      <c r="J12" s="97">
        <f t="shared" si="0"/>
        <v>32508.39</v>
      </c>
      <c r="K12" s="97">
        <f t="shared" si="0"/>
        <v>32595.440000000002</v>
      </c>
      <c r="L12" s="97">
        <f t="shared" si="0"/>
        <v>31342.850000000002</v>
      </c>
      <c r="M12" s="97">
        <f t="shared" si="0"/>
        <v>39165.340000000004</v>
      </c>
      <c r="N12" s="97">
        <f t="shared" si="0"/>
        <v>26023.180000000004</v>
      </c>
      <c r="O12" s="97">
        <f t="shared" si="0"/>
        <v>352328.98</v>
      </c>
    </row>
    <row r="19" spans="1:14" ht="22.5">
      <c r="A19" s="362" t="s">
        <v>1067</v>
      </c>
      <c r="B19" s="367" t="s">
        <v>657</v>
      </c>
      <c r="C19" s="97" t="s">
        <v>657</v>
      </c>
      <c r="D19" s="97" t="s">
        <v>658</v>
      </c>
      <c r="E19" s="97" t="s">
        <v>294</v>
      </c>
      <c r="F19" s="97" t="s">
        <v>295</v>
      </c>
      <c r="G19" s="97" t="s">
        <v>659</v>
      </c>
      <c r="H19" s="97" t="s">
        <v>297</v>
      </c>
      <c r="I19" s="97" t="s">
        <v>298</v>
      </c>
      <c r="J19" s="97" t="s">
        <v>299</v>
      </c>
      <c r="K19" s="97" t="s">
        <v>300</v>
      </c>
      <c r="L19" s="97" t="s">
        <v>301</v>
      </c>
      <c r="M19" s="97" t="s">
        <v>302</v>
      </c>
      <c r="N19" s="97" t="s">
        <v>303</v>
      </c>
    </row>
    <row r="20" spans="1:15" ht="22.5">
      <c r="A20" s="363" t="s">
        <v>614</v>
      </c>
      <c r="B20" s="368"/>
      <c r="C20" s="97">
        <f>21731.83+1001.83</f>
        <v>22733.660000000003</v>
      </c>
      <c r="D20" s="370">
        <f>12136.39+965.46</f>
        <v>13101.849999999999</v>
      </c>
      <c r="E20" s="370">
        <f>17539.48+962.12</f>
        <v>18501.6</v>
      </c>
      <c r="F20" s="97">
        <f>12348.56+899.33+678.38</f>
        <v>13926.269999999999</v>
      </c>
      <c r="G20" s="97">
        <f>13169.05+1084.45</f>
        <v>14253.5</v>
      </c>
      <c r="H20" s="97">
        <f>21925.92+1048.11</f>
        <v>22974.03</v>
      </c>
      <c r="I20" s="97">
        <f>17637.38+922.48</f>
        <v>18559.86</v>
      </c>
      <c r="J20" s="97">
        <f>935.69+20240.14</f>
        <v>21175.829999999998</v>
      </c>
      <c r="K20" s="97">
        <f>20932.02+853.06</f>
        <v>21785.08</v>
      </c>
      <c r="L20" s="97">
        <f>19228.15+833.22</f>
        <v>20061.370000000003</v>
      </c>
      <c r="M20" s="97">
        <f>15743.93+833.21</f>
        <v>16577.14</v>
      </c>
      <c r="N20" s="97">
        <f>15928.57+833.22</f>
        <v>16761.79</v>
      </c>
      <c r="O20" s="97">
        <f>SUM(C20:N20)</f>
        <v>220411.98</v>
      </c>
    </row>
    <row r="21" spans="1:15" ht="22.5">
      <c r="A21" s="363" t="s">
        <v>800</v>
      </c>
      <c r="B21" s="366">
        <v>712.62</v>
      </c>
      <c r="C21" s="366"/>
      <c r="D21" s="97">
        <v>599.2</v>
      </c>
      <c r="E21" s="97">
        <v>577.8</v>
      </c>
      <c r="F21" s="97">
        <v>620.6</v>
      </c>
      <c r="G21" s="97">
        <v>577.8</v>
      </c>
      <c r="H21" s="97">
        <v>641.61</v>
      </c>
      <c r="I21" s="97">
        <v>735.63</v>
      </c>
      <c r="J21" s="97">
        <v>535</v>
      </c>
      <c r="K21" s="97">
        <v>643.61</v>
      </c>
      <c r="L21" s="97">
        <v>643.61</v>
      </c>
      <c r="M21" s="97">
        <v>735.63</v>
      </c>
      <c r="N21" s="97">
        <v>643.61</v>
      </c>
      <c r="O21" s="97">
        <f>SUM(C21:N21)</f>
        <v>6954.0999999999985</v>
      </c>
    </row>
    <row r="22" spans="1:15" ht="22.5">
      <c r="A22" s="363" t="s">
        <v>615</v>
      </c>
      <c r="B22" s="97">
        <v>460.1</v>
      </c>
      <c r="D22" s="97">
        <v>273.92</v>
      </c>
      <c r="E22" s="97">
        <v>245.03</v>
      </c>
      <c r="F22" s="97">
        <v>350.96</v>
      </c>
      <c r="G22" s="97">
        <v>107</v>
      </c>
      <c r="H22" s="97">
        <v>107</v>
      </c>
      <c r="I22" s="97">
        <v>347.75</v>
      </c>
      <c r="J22" s="97">
        <v>139.1</v>
      </c>
      <c r="K22" s="97">
        <v>126.26</v>
      </c>
      <c r="L22" s="97">
        <v>281.95</v>
      </c>
      <c r="M22" s="97">
        <v>107</v>
      </c>
      <c r="N22" s="97">
        <v>235.4</v>
      </c>
      <c r="O22" s="97">
        <f>SUM(C22:N22)</f>
        <v>2321.3700000000003</v>
      </c>
    </row>
    <row r="23" spans="1:15" ht="22.5">
      <c r="A23" s="363" t="s">
        <v>616</v>
      </c>
      <c r="B23" s="366">
        <v>892</v>
      </c>
      <c r="C23" s="366"/>
      <c r="D23" s="97">
        <v>576</v>
      </c>
      <c r="E23" s="97">
        <v>153</v>
      </c>
      <c r="F23" s="97">
        <v>98</v>
      </c>
      <c r="G23" s="97">
        <v>427</v>
      </c>
      <c r="H23" s="97">
        <v>140</v>
      </c>
      <c r="I23" s="97">
        <v>494</v>
      </c>
      <c r="J23" s="97">
        <v>912</v>
      </c>
      <c r="K23" s="97">
        <v>126</v>
      </c>
      <c r="L23" s="97">
        <v>272</v>
      </c>
      <c r="M23" s="97">
        <v>3108</v>
      </c>
      <c r="O23" s="97">
        <f>SUM(C23:N23)</f>
        <v>6306</v>
      </c>
    </row>
    <row r="24" spans="1:15" ht="22.5">
      <c r="A24" s="364" t="s">
        <v>617</v>
      </c>
      <c r="B24" s="97">
        <f>481.5+631.3+6792.36</f>
        <v>7905.16</v>
      </c>
      <c r="D24" s="97">
        <f>481.5+631.3+6809.48</f>
        <v>7922.28</v>
      </c>
      <c r="E24" s="97">
        <f>6875.82+481.5+631.3</f>
        <v>7988.62</v>
      </c>
      <c r="F24" s="97">
        <f>481.5+6736.72+631.3</f>
        <v>7849.52</v>
      </c>
      <c r="G24" s="97">
        <f>6766.68+481.5+631.3</f>
        <v>7879.4800000000005</v>
      </c>
      <c r="H24" s="97">
        <f>481.5+631.3+6837.3</f>
        <v>7950.1</v>
      </c>
      <c r="I24" s="97">
        <f>631.3+481.5+6781.66</f>
        <v>7894.46</v>
      </c>
      <c r="J24" s="97">
        <f>631.3+6790.22+481.5</f>
        <v>7903.02</v>
      </c>
      <c r="K24" s="97">
        <f>631.3+481.5+6818.04</f>
        <v>7930.84</v>
      </c>
      <c r="L24" s="97">
        <f>631.3+6792.36+481.5</f>
        <v>7905.16</v>
      </c>
      <c r="M24" s="97">
        <f>6841.58+481.5+631.3+7000</f>
        <v>14954.380000000001</v>
      </c>
      <c r="N24" s="97">
        <f>481.5+6734.58+631.3</f>
        <v>7847.38</v>
      </c>
      <c r="O24" s="97">
        <f>SUM(C24:N24)</f>
        <v>94025.24</v>
      </c>
    </row>
    <row r="26" spans="1:2" ht="22.5">
      <c r="A26" s="362" t="s">
        <v>1068</v>
      </c>
      <c r="B26" s="367"/>
    </row>
    <row r="27" spans="1:15" ht="22.5">
      <c r="A27" s="363" t="s">
        <v>614</v>
      </c>
      <c r="B27" s="368"/>
      <c r="C27" s="97">
        <f>241.11+320.45+993</f>
        <v>1554.56</v>
      </c>
      <c r="D27" s="97">
        <f>217.97+244.42+797.37</f>
        <v>1259.76</v>
      </c>
      <c r="E27" s="97">
        <f>198.14+241.11+701.75</f>
        <v>1141</v>
      </c>
      <c r="F27" s="97">
        <f>122.11+244.42+840.84</f>
        <v>1207.37</v>
      </c>
      <c r="G27" s="97">
        <f>141.96+888.67+217.97</f>
        <v>1248.6</v>
      </c>
      <c r="H27" s="97">
        <f>1010.39+224.58+290.71</f>
        <v>1525.68</v>
      </c>
      <c r="I27" s="97">
        <f>845.2+208.08+287.39</f>
        <v>1340.67</v>
      </c>
      <c r="J27" s="97">
        <f>317.14+188.23+888.67</f>
        <v>1394.04</v>
      </c>
      <c r="K27" s="97">
        <f>949.53+307.24+277.48</f>
        <v>1534.25</v>
      </c>
      <c r="L27" s="97">
        <f>1075.59+294+274.17</f>
        <v>1643.76</v>
      </c>
      <c r="M27" s="97">
        <f>224.58+241.11+1045.17+1136.47+300.62+307.24</f>
        <v>3255.1899999999996</v>
      </c>
      <c r="O27" s="97">
        <f>SUM(C27:N27)</f>
        <v>17104.88</v>
      </c>
    </row>
    <row r="28" spans="1:15" ht="22.5">
      <c r="A28" s="363" t="s">
        <v>800</v>
      </c>
      <c r="B28" s="366">
        <v>535</v>
      </c>
      <c r="C28" s="366"/>
      <c r="D28" s="97">
        <v>386.27</v>
      </c>
      <c r="E28" s="97">
        <v>577.8</v>
      </c>
      <c r="F28" s="97">
        <v>365.94</v>
      </c>
      <c r="G28" s="97">
        <v>428</v>
      </c>
      <c r="H28" s="97">
        <v>492.2</v>
      </c>
      <c r="I28" s="97">
        <v>556.4</v>
      </c>
      <c r="J28" s="97">
        <v>449.4</v>
      </c>
      <c r="K28" s="97">
        <v>449.4</v>
      </c>
      <c r="L28" s="97">
        <v>535</v>
      </c>
      <c r="M28" s="97">
        <v>428</v>
      </c>
      <c r="N28" s="97">
        <v>535</v>
      </c>
      <c r="O28" s="97">
        <f>SUM(C28:N28)</f>
        <v>5203.41</v>
      </c>
    </row>
    <row r="29" spans="2:15" ht="22.5">
      <c r="B29" s="369">
        <f aca="true" t="shared" si="1" ref="B29:O29">SUM(B20:B28)</f>
        <v>10504.880000000001</v>
      </c>
      <c r="C29" s="97">
        <f t="shared" si="1"/>
        <v>24288.220000000005</v>
      </c>
      <c r="D29" s="97">
        <f t="shared" si="1"/>
        <v>24119.28</v>
      </c>
      <c r="E29" s="97">
        <f t="shared" si="1"/>
        <v>29184.849999999995</v>
      </c>
      <c r="F29" s="97">
        <f t="shared" si="1"/>
        <v>24418.659999999996</v>
      </c>
      <c r="G29" s="97">
        <f t="shared" si="1"/>
        <v>24921.379999999997</v>
      </c>
      <c r="H29" s="97">
        <f t="shared" si="1"/>
        <v>33830.619999999995</v>
      </c>
      <c r="I29" s="97">
        <f t="shared" si="1"/>
        <v>29928.770000000004</v>
      </c>
      <c r="J29" s="97">
        <f t="shared" si="1"/>
        <v>32508.39</v>
      </c>
      <c r="K29" s="97">
        <f t="shared" si="1"/>
        <v>32595.440000000002</v>
      </c>
      <c r="L29" s="97">
        <f t="shared" si="1"/>
        <v>31342.850000000002</v>
      </c>
      <c r="M29" s="97">
        <f t="shared" si="1"/>
        <v>39165.340000000004</v>
      </c>
      <c r="N29" s="97">
        <f t="shared" si="1"/>
        <v>26023.180000000004</v>
      </c>
      <c r="O29" s="97">
        <f t="shared" si="1"/>
        <v>352326.98</v>
      </c>
    </row>
    <row r="35" spans="1:4" ht="22.5">
      <c r="A35" s="214" t="s">
        <v>336</v>
      </c>
      <c r="B35" s="84">
        <v>16599</v>
      </c>
      <c r="C35" s="97">
        <v>10100</v>
      </c>
      <c r="D35" s="97">
        <v>54285</v>
      </c>
    </row>
    <row r="36" spans="1:4" ht="22.5">
      <c r="A36" s="214" t="s">
        <v>603</v>
      </c>
      <c r="B36" s="84">
        <v>1400</v>
      </c>
      <c r="C36" s="97">
        <v>7000</v>
      </c>
      <c r="D36" s="97">
        <v>16068.36</v>
      </c>
    </row>
    <row r="37" spans="1:4" ht="22.5">
      <c r="A37" s="214" t="s">
        <v>604</v>
      </c>
      <c r="B37" s="84">
        <v>2240</v>
      </c>
      <c r="C37" s="97">
        <v>10287</v>
      </c>
      <c r="D37" s="97">
        <v>13877.22</v>
      </c>
    </row>
    <row r="38" spans="1:4" ht="22.5">
      <c r="A38" s="214" t="s">
        <v>339</v>
      </c>
      <c r="B38" s="84">
        <v>25025</v>
      </c>
      <c r="C38" s="97">
        <v>9050</v>
      </c>
      <c r="D38" s="97">
        <v>46882.5</v>
      </c>
    </row>
    <row r="39" spans="1:4" ht="22.5">
      <c r="A39" s="214" t="s">
        <v>605</v>
      </c>
      <c r="B39" s="365">
        <v>38000</v>
      </c>
      <c r="C39" s="97">
        <v>13040</v>
      </c>
      <c r="D39" s="97">
        <v>49350</v>
      </c>
    </row>
    <row r="40" spans="1:4" ht="22.5">
      <c r="A40" s="218" t="s">
        <v>606</v>
      </c>
      <c r="B40" s="84">
        <v>38000</v>
      </c>
      <c r="C40" s="97">
        <v>10150</v>
      </c>
      <c r="D40" s="97">
        <v>14607.6</v>
      </c>
    </row>
    <row r="41" spans="2:4" ht="22.5">
      <c r="B41" s="84">
        <v>37018</v>
      </c>
      <c r="C41" s="97">
        <v>16970</v>
      </c>
      <c r="D41" s="97">
        <v>14607.6</v>
      </c>
    </row>
    <row r="42" spans="1:4" ht="22.5">
      <c r="A42" s="220" t="s">
        <v>864</v>
      </c>
      <c r="B42" s="84">
        <f>SUM(B35:B41)</f>
        <v>158282</v>
      </c>
      <c r="C42" s="97">
        <v>9050</v>
      </c>
      <c r="D42" s="97">
        <v>49350</v>
      </c>
    </row>
    <row r="43" spans="3:4" ht="22.5">
      <c r="C43" s="97">
        <v>15430</v>
      </c>
      <c r="D43" s="97">
        <v>8034.18</v>
      </c>
    </row>
    <row r="44" spans="3:4" ht="22.5">
      <c r="C44" s="97">
        <v>11610</v>
      </c>
      <c r="D44" s="97">
        <v>27142.5</v>
      </c>
    </row>
    <row r="45" spans="3:4" ht="22.5">
      <c r="C45" s="97">
        <v>8417</v>
      </c>
      <c r="D45" s="97">
        <v>32984.76</v>
      </c>
    </row>
    <row r="46" spans="3:4" ht="22.5">
      <c r="C46" s="97">
        <v>15680</v>
      </c>
      <c r="D46" s="97">
        <v>111435</v>
      </c>
    </row>
    <row r="47" spans="3:4" ht="22.5">
      <c r="C47" s="97">
        <f>SUM(C35:C46)</f>
        <v>136784</v>
      </c>
      <c r="D47" s="97">
        <v>27142.5</v>
      </c>
    </row>
    <row r="48" ht="22.5">
      <c r="D48" s="97">
        <v>7382.76</v>
      </c>
    </row>
    <row r="49" ht="22.5">
      <c r="D49" s="97">
        <v>14094.36</v>
      </c>
    </row>
    <row r="50" ht="22.5">
      <c r="D50" s="97">
        <v>51817.5</v>
      </c>
    </row>
    <row r="51" ht="22.5">
      <c r="D51" s="97">
        <v>48823.6</v>
      </c>
    </row>
    <row r="52" ht="22.5">
      <c r="D52" s="97">
        <v>12238.8</v>
      </c>
    </row>
    <row r="53" ht="22.5">
      <c r="D53" s="97">
        <v>13462.68</v>
      </c>
    </row>
    <row r="54" ht="22.5">
      <c r="D54" s="97">
        <v>53705.96</v>
      </c>
    </row>
    <row r="55" ht="22.5">
      <c r="D55" s="97">
        <v>48823.6</v>
      </c>
    </row>
    <row r="56" ht="22.5">
      <c r="D56" s="97">
        <v>12238.8</v>
      </c>
    </row>
    <row r="57" ht="22.5">
      <c r="D57" s="97">
        <v>15272.46</v>
      </c>
    </row>
    <row r="58" ht="22.5">
      <c r="D58" s="97">
        <v>60925.62</v>
      </c>
    </row>
    <row r="59" ht="22.5">
      <c r="D59" s="36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37" sqref="I37"/>
    </sheetView>
  </sheetViews>
  <sheetFormatPr defaultColWidth="54.140625" defaultRowHeight="15"/>
  <cols>
    <col min="1" max="1" width="21.57421875" style="13" customWidth="1"/>
    <col min="2" max="2" width="12.28125" style="139" customWidth="1"/>
    <col min="3" max="3" width="11.57421875" style="13" customWidth="1"/>
    <col min="4" max="4" width="11.00390625" style="13" customWidth="1"/>
    <col min="5" max="5" width="9.57421875" style="13" customWidth="1"/>
    <col min="6" max="6" width="9.421875" style="13" customWidth="1"/>
    <col min="7" max="7" width="12.28125" style="139" customWidth="1"/>
    <col min="8" max="8" width="8.140625" style="13" customWidth="1"/>
    <col min="9" max="9" width="20.00390625" style="13" customWidth="1"/>
    <col min="10" max="16384" width="54.140625" style="13" customWidth="1"/>
  </cols>
  <sheetData>
    <row r="1" spans="1:8" s="139" customFormat="1" ht="19.5" customHeight="1">
      <c r="A1" s="634" t="s">
        <v>634</v>
      </c>
      <c r="B1" s="634"/>
      <c r="C1" s="634"/>
      <c r="D1" s="634"/>
      <c r="E1" s="634"/>
      <c r="F1" s="634"/>
      <c r="G1" s="634"/>
      <c r="H1" s="634"/>
    </row>
    <row r="2" spans="1:8" ht="18.75">
      <c r="A2" s="634" t="s">
        <v>261</v>
      </c>
      <c r="B2" s="634"/>
      <c r="C2" s="634"/>
      <c r="D2" s="634"/>
      <c r="E2" s="634"/>
      <c r="F2" s="634"/>
      <c r="G2" s="634"/>
      <c r="H2" s="634"/>
    </row>
    <row r="3" spans="1:8" ht="18.75">
      <c r="A3" s="635" t="s">
        <v>1072</v>
      </c>
      <c r="B3" s="635"/>
      <c r="C3" s="634"/>
      <c r="D3" s="634"/>
      <c r="E3" s="634"/>
      <c r="F3" s="634"/>
      <c r="G3" s="634"/>
      <c r="H3" s="634"/>
    </row>
    <row r="4" spans="1:8" ht="18.75">
      <c r="A4" s="636" t="s">
        <v>262</v>
      </c>
      <c r="B4" s="636"/>
      <c r="C4" s="636"/>
      <c r="D4" s="636"/>
      <c r="E4" s="636"/>
      <c r="F4" s="636"/>
      <c r="G4" s="636"/>
      <c r="H4" s="636"/>
    </row>
    <row r="5" spans="1:9" ht="18.75">
      <c r="A5" s="14" t="s">
        <v>39</v>
      </c>
      <c r="B5" s="15" t="s">
        <v>1113</v>
      </c>
      <c r="C5" s="15" t="s">
        <v>1114</v>
      </c>
      <c r="D5" s="15" t="s">
        <v>263</v>
      </c>
      <c r="E5" s="15" t="s">
        <v>264</v>
      </c>
      <c r="F5" s="15" t="s">
        <v>265</v>
      </c>
      <c r="G5" s="271" t="s">
        <v>266</v>
      </c>
      <c r="H5" s="16" t="s">
        <v>18</v>
      </c>
      <c r="I5" s="143" t="s">
        <v>635</v>
      </c>
    </row>
    <row r="6" spans="1:8" ht="18.75">
      <c r="A6" s="17" t="s">
        <v>267</v>
      </c>
      <c r="B6" s="145"/>
      <c r="C6" s="144"/>
      <c r="D6" s="144"/>
      <c r="E6" s="144"/>
      <c r="F6" s="144"/>
      <c r="G6" s="145"/>
      <c r="H6" s="145"/>
    </row>
    <row r="7" spans="1:8" ht="18.75">
      <c r="A7" s="18" t="s">
        <v>517</v>
      </c>
      <c r="B7" s="199">
        <v>1415000</v>
      </c>
      <c r="C7" s="146">
        <v>0</v>
      </c>
      <c r="D7" s="146" t="s">
        <v>179</v>
      </c>
      <c r="E7" s="146"/>
      <c r="F7" s="147">
        <v>0</v>
      </c>
      <c r="G7" s="199">
        <v>1415000</v>
      </c>
      <c r="H7" s="148"/>
    </row>
    <row r="8" spans="1:8" ht="18.75">
      <c r="A8" s="18" t="s">
        <v>636</v>
      </c>
      <c r="B8" s="199">
        <v>1151700</v>
      </c>
      <c r="C8" s="146">
        <v>0</v>
      </c>
      <c r="D8" s="146" t="s">
        <v>179</v>
      </c>
      <c r="E8" s="146"/>
      <c r="F8" s="147">
        <v>0</v>
      </c>
      <c r="G8" s="199">
        <v>1151700</v>
      </c>
      <c r="H8" s="148"/>
    </row>
    <row r="9" spans="1:8" ht="18.75">
      <c r="A9" s="19" t="s">
        <v>518</v>
      </c>
      <c r="B9" s="199">
        <v>50000</v>
      </c>
      <c r="C9" s="146">
        <v>293000</v>
      </c>
      <c r="D9" s="146" t="s">
        <v>179</v>
      </c>
      <c r="E9" s="146"/>
      <c r="F9" s="147">
        <v>0</v>
      </c>
      <c r="G9" s="199">
        <v>343000</v>
      </c>
      <c r="H9" s="148"/>
    </row>
    <row r="10" spans="1:8" ht="18.75">
      <c r="A10" s="20" t="s">
        <v>520</v>
      </c>
      <c r="B10" s="199">
        <v>629000</v>
      </c>
      <c r="C10" s="146">
        <v>0</v>
      </c>
      <c r="D10" s="146" t="s">
        <v>179</v>
      </c>
      <c r="E10" s="146"/>
      <c r="F10" s="147">
        <v>0</v>
      </c>
      <c r="G10" s="199">
        <v>629000</v>
      </c>
      <c r="H10" s="148"/>
    </row>
    <row r="11" spans="1:8" ht="18.75">
      <c r="A11" s="20" t="s">
        <v>268</v>
      </c>
      <c r="B11" s="199">
        <v>0</v>
      </c>
      <c r="C11" s="146">
        <v>0</v>
      </c>
      <c r="D11" s="146" t="s">
        <v>179</v>
      </c>
      <c r="E11" s="146"/>
      <c r="F11" s="147">
        <v>0</v>
      </c>
      <c r="G11" s="199">
        <f>SUM(C11:F11)</f>
        <v>0</v>
      </c>
      <c r="H11" s="148"/>
    </row>
    <row r="12" spans="1:8" ht="18.75">
      <c r="A12" s="20" t="s">
        <v>521</v>
      </c>
      <c r="B12" s="199">
        <v>100000</v>
      </c>
      <c r="C12" s="146">
        <v>0</v>
      </c>
      <c r="D12" s="146" t="s">
        <v>179</v>
      </c>
      <c r="E12" s="146"/>
      <c r="F12" s="147">
        <v>0</v>
      </c>
      <c r="G12" s="199">
        <v>100000</v>
      </c>
      <c r="H12" s="148"/>
    </row>
    <row r="13" spans="1:9" ht="22.5">
      <c r="A13" s="20" t="s">
        <v>522</v>
      </c>
      <c r="B13" s="199">
        <v>36594</v>
      </c>
      <c r="C13" s="146">
        <v>0</v>
      </c>
      <c r="D13" s="146" t="s">
        <v>179</v>
      </c>
      <c r="E13" s="146"/>
      <c r="F13" s="147">
        <v>0</v>
      </c>
      <c r="G13" s="199">
        <v>36594</v>
      </c>
      <c r="H13" s="148"/>
      <c r="I13" s="97">
        <v>153500</v>
      </c>
    </row>
    <row r="14" spans="1:9" ht="22.5">
      <c r="A14" s="20" t="s">
        <v>637</v>
      </c>
      <c r="B14" s="199">
        <v>22000</v>
      </c>
      <c r="C14" s="146">
        <v>0</v>
      </c>
      <c r="D14" s="146" t="s">
        <v>179</v>
      </c>
      <c r="E14" s="146"/>
      <c r="F14" s="147">
        <v>0</v>
      </c>
      <c r="G14" s="199">
        <v>22000</v>
      </c>
      <c r="H14" s="148"/>
      <c r="I14" s="97">
        <v>101000</v>
      </c>
    </row>
    <row r="15" spans="1:9" ht="22.5">
      <c r="A15" s="20" t="s">
        <v>269</v>
      </c>
      <c r="B15" s="199">
        <v>0</v>
      </c>
      <c r="C15" s="146">
        <v>0</v>
      </c>
      <c r="D15" s="146" t="s">
        <v>179</v>
      </c>
      <c r="E15" s="146"/>
      <c r="F15" s="147">
        <v>0</v>
      </c>
      <c r="G15" s="199">
        <f>SUM(C15:F15)</f>
        <v>0</v>
      </c>
      <c r="H15" s="148"/>
      <c r="I15" s="97">
        <v>461458.4</v>
      </c>
    </row>
    <row r="16" spans="1:9" ht="22.5">
      <c r="A16" s="20" t="s">
        <v>638</v>
      </c>
      <c r="B16" s="199">
        <v>528458.4</v>
      </c>
      <c r="C16" s="146">
        <v>0</v>
      </c>
      <c r="D16" s="146" t="s">
        <v>179</v>
      </c>
      <c r="E16" s="146"/>
      <c r="F16" s="147">
        <v>0</v>
      </c>
      <c r="G16" s="199">
        <v>528458.4</v>
      </c>
      <c r="H16" s="148"/>
      <c r="I16" s="97">
        <v>6685534.46</v>
      </c>
    </row>
    <row r="17" spans="1:9" ht="22.5">
      <c r="A17" s="20" t="s">
        <v>639</v>
      </c>
      <c r="B17" s="199">
        <v>112000</v>
      </c>
      <c r="C17" s="146">
        <v>0</v>
      </c>
      <c r="D17" s="146" t="s">
        <v>179</v>
      </c>
      <c r="E17" s="146"/>
      <c r="F17" s="147">
        <v>0</v>
      </c>
      <c r="G17" s="199">
        <v>112000</v>
      </c>
      <c r="H17" s="148"/>
      <c r="I17" s="97">
        <v>99500</v>
      </c>
    </row>
    <row r="18" spans="1:9" ht="22.5">
      <c r="A18" s="20" t="s">
        <v>519</v>
      </c>
      <c r="B18" s="199">
        <v>98000</v>
      </c>
      <c r="C18" s="146">
        <v>0</v>
      </c>
      <c r="D18" s="146" t="s">
        <v>179</v>
      </c>
      <c r="E18" s="146"/>
      <c r="F18" s="147">
        <v>0</v>
      </c>
      <c r="G18" s="199">
        <v>98000</v>
      </c>
      <c r="H18" s="148"/>
      <c r="I18" s="97">
        <v>227500</v>
      </c>
    </row>
    <row r="19" spans="1:9" ht="22.5">
      <c r="A19" s="20" t="s">
        <v>640</v>
      </c>
      <c r="B19" s="199">
        <v>9544264.46</v>
      </c>
      <c r="C19" s="146">
        <v>0</v>
      </c>
      <c r="D19" s="146" t="s">
        <v>179</v>
      </c>
      <c r="E19" s="146"/>
      <c r="F19" s="147">
        <v>0</v>
      </c>
      <c r="G19" s="199">
        <v>9544264.46</v>
      </c>
      <c r="H19" s="148"/>
      <c r="I19" s="97">
        <f>SUM(I13:I18)</f>
        <v>7728492.86</v>
      </c>
    </row>
    <row r="20" spans="1:8" ht="18.75">
      <c r="A20" s="20" t="s">
        <v>641</v>
      </c>
      <c r="B20" s="199">
        <v>3310000</v>
      </c>
      <c r="C20" s="146">
        <v>0</v>
      </c>
      <c r="D20" s="146" t="s">
        <v>179</v>
      </c>
      <c r="E20" s="146"/>
      <c r="F20" s="147">
        <v>0</v>
      </c>
      <c r="G20" s="199">
        <v>3310000</v>
      </c>
      <c r="H20" s="148"/>
    </row>
    <row r="21" spans="1:8" ht="18.75">
      <c r="A21" s="20" t="s">
        <v>642</v>
      </c>
      <c r="B21" s="199">
        <v>1294500</v>
      </c>
      <c r="C21" s="146">
        <v>0</v>
      </c>
      <c r="D21" s="146" t="s">
        <v>179</v>
      </c>
      <c r="E21" s="146"/>
      <c r="F21" s="149">
        <v>0</v>
      </c>
      <c r="G21" s="199">
        <v>1294500</v>
      </c>
      <c r="H21" s="148"/>
    </row>
    <row r="22" spans="1:8" ht="18.75">
      <c r="A22" s="21" t="s">
        <v>270</v>
      </c>
      <c r="B22" s="204">
        <f>SUM(B6:B21)</f>
        <v>18291516.86</v>
      </c>
      <c r="C22" s="150">
        <f>SUM(C7:C21)</f>
        <v>293000</v>
      </c>
      <c r="D22" s="151"/>
      <c r="E22" s="151"/>
      <c r="F22" s="147">
        <f>SUM(F7:F21)</f>
        <v>0</v>
      </c>
      <c r="G22" s="204">
        <f>SUM(G7:G21)</f>
        <v>18584516.86</v>
      </c>
      <c r="H22" s="152"/>
    </row>
    <row r="23" spans="1:8" ht="18.75">
      <c r="A23" s="22" t="s">
        <v>271</v>
      </c>
      <c r="B23" s="153"/>
      <c r="C23" s="153"/>
      <c r="D23" s="153"/>
      <c r="E23" s="153"/>
      <c r="F23" s="153"/>
      <c r="G23" s="153"/>
      <c r="H23" s="153"/>
    </row>
    <row r="24" spans="1:8" ht="18.75">
      <c r="A24" s="20" t="s">
        <v>272</v>
      </c>
      <c r="B24" s="148">
        <v>4463500</v>
      </c>
      <c r="C24" s="148">
        <v>0</v>
      </c>
      <c r="D24" s="148">
        <v>0</v>
      </c>
      <c r="E24" s="148"/>
      <c r="F24" s="148">
        <v>0</v>
      </c>
      <c r="G24" s="148">
        <f>SUM(B24:F24)</f>
        <v>4463500</v>
      </c>
      <c r="H24" s="148"/>
    </row>
    <row r="25" spans="1:8" ht="18.75">
      <c r="A25" s="20" t="s">
        <v>273</v>
      </c>
      <c r="B25" s="148">
        <v>4099728.68</v>
      </c>
      <c r="C25" s="148">
        <v>181600</v>
      </c>
      <c r="D25" s="148">
        <v>9400</v>
      </c>
      <c r="E25" s="148"/>
      <c r="F25" s="148">
        <v>0</v>
      </c>
      <c r="G25" s="148">
        <f>B25+C25-D25+E25-F25</f>
        <v>4271928.68</v>
      </c>
      <c r="H25" s="148"/>
    </row>
    <row r="26" spans="1:8" ht="18.75">
      <c r="A26" s="20" t="s">
        <v>274</v>
      </c>
      <c r="B26" s="148">
        <v>148300</v>
      </c>
      <c r="C26" s="148">
        <v>0</v>
      </c>
      <c r="D26" s="148">
        <v>0</v>
      </c>
      <c r="E26" s="148"/>
      <c r="F26" s="148"/>
      <c r="G26" s="148">
        <f aca="true" t="shared" si="0" ref="G26:G39">B26+C26-D26+E26-F26</f>
        <v>148300</v>
      </c>
      <c r="H26" s="148"/>
    </row>
    <row r="27" spans="1:8" ht="18.75">
      <c r="A27" s="20" t="s">
        <v>275</v>
      </c>
      <c r="B27" s="148">
        <v>0</v>
      </c>
      <c r="C27" s="148">
        <v>75960</v>
      </c>
      <c r="D27" s="148">
        <v>0</v>
      </c>
      <c r="E27" s="148"/>
      <c r="F27" s="148">
        <v>0</v>
      </c>
      <c r="G27" s="148">
        <f t="shared" si="0"/>
        <v>75960</v>
      </c>
      <c r="H27" s="148"/>
    </row>
    <row r="28" spans="1:8" ht="18.75">
      <c r="A28" s="20" t="s">
        <v>276</v>
      </c>
      <c r="B28" s="148">
        <v>0</v>
      </c>
      <c r="C28" s="148">
        <v>0</v>
      </c>
      <c r="D28" s="148">
        <v>0</v>
      </c>
      <c r="E28" s="148"/>
      <c r="F28" s="148">
        <v>0</v>
      </c>
      <c r="G28" s="148">
        <f t="shared" si="0"/>
        <v>0</v>
      </c>
      <c r="H28" s="148"/>
    </row>
    <row r="29" spans="1:8" ht="18.75">
      <c r="A29" s="20" t="s">
        <v>277</v>
      </c>
      <c r="B29" s="148">
        <v>12000</v>
      </c>
      <c r="C29" s="148">
        <v>0</v>
      </c>
      <c r="D29" s="148">
        <v>0</v>
      </c>
      <c r="E29" s="148"/>
      <c r="F29" s="148">
        <v>0</v>
      </c>
      <c r="G29" s="148">
        <f t="shared" si="0"/>
        <v>12000</v>
      </c>
      <c r="H29" s="148"/>
    </row>
    <row r="30" spans="1:8" ht="18.75">
      <c r="A30" s="20" t="s">
        <v>278</v>
      </c>
      <c r="B30" s="148">
        <v>0</v>
      </c>
      <c r="C30" s="148">
        <v>0</v>
      </c>
      <c r="D30" s="148">
        <v>0</v>
      </c>
      <c r="E30" s="148"/>
      <c r="F30" s="148">
        <v>0</v>
      </c>
      <c r="G30" s="148">
        <f t="shared" si="0"/>
        <v>0</v>
      </c>
      <c r="H30" s="148"/>
    </row>
    <row r="31" spans="1:8" ht="18.75">
      <c r="A31" s="20" t="s">
        <v>279</v>
      </c>
      <c r="B31" s="148">
        <v>101500</v>
      </c>
      <c r="C31" s="148">
        <v>0</v>
      </c>
      <c r="D31" s="148">
        <v>0</v>
      </c>
      <c r="E31" s="148"/>
      <c r="F31" s="148">
        <v>0</v>
      </c>
      <c r="G31" s="148">
        <f t="shared" si="0"/>
        <v>101500</v>
      </c>
      <c r="H31" s="148"/>
    </row>
    <row r="32" spans="1:8" ht="18.75">
      <c r="A32" s="20" t="s">
        <v>280</v>
      </c>
      <c r="B32" s="148">
        <v>0</v>
      </c>
      <c r="C32" s="148">
        <v>0</v>
      </c>
      <c r="D32" s="148">
        <v>0</v>
      </c>
      <c r="E32" s="148"/>
      <c r="F32" s="148">
        <v>0</v>
      </c>
      <c r="G32" s="148">
        <f t="shared" si="0"/>
        <v>0</v>
      </c>
      <c r="H32" s="148"/>
    </row>
    <row r="33" spans="1:8" ht="18.75">
      <c r="A33" s="20" t="s">
        <v>281</v>
      </c>
      <c r="B33" s="148">
        <v>0</v>
      </c>
      <c r="C33" s="148">
        <v>0</v>
      </c>
      <c r="D33" s="148">
        <v>0</v>
      </c>
      <c r="E33" s="148"/>
      <c r="F33" s="148">
        <v>0</v>
      </c>
      <c r="G33" s="148">
        <f t="shared" si="0"/>
        <v>0</v>
      </c>
      <c r="H33" s="148"/>
    </row>
    <row r="34" spans="1:8" ht="18.75">
      <c r="A34" s="20" t="s">
        <v>643</v>
      </c>
      <c r="B34" s="148">
        <v>664373</v>
      </c>
      <c r="C34" s="148">
        <v>14800</v>
      </c>
      <c r="D34" s="148">
        <v>3500</v>
      </c>
      <c r="E34" s="148"/>
      <c r="F34" s="148">
        <v>0</v>
      </c>
      <c r="G34" s="148">
        <f t="shared" si="0"/>
        <v>675673</v>
      </c>
      <c r="H34" s="148"/>
    </row>
    <row r="35" spans="1:8" ht="18.75">
      <c r="A35" s="20" t="s">
        <v>507</v>
      </c>
      <c r="B35" s="148">
        <v>187474</v>
      </c>
      <c r="C35" s="148">
        <v>0</v>
      </c>
      <c r="D35" s="148">
        <v>0</v>
      </c>
      <c r="E35" s="148"/>
      <c r="F35" s="148">
        <v>0</v>
      </c>
      <c r="G35" s="148">
        <f t="shared" si="0"/>
        <v>187474</v>
      </c>
      <c r="H35" s="148"/>
    </row>
    <row r="36" spans="1:8" ht="18.75">
      <c r="A36" s="20" t="s">
        <v>282</v>
      </c>
      <c r="B36" s="148">
        <v>0</v>
      </c>
      <c r="C36" s="148">
        <v>0</v>
      </c>
      <c r="D36" s="148">
        <v>0</v>
      </c>
      <c r="E36" s="148"/>
      <c r="F36" s="148">
        <v>0</v>
      </c>
      <c r="G36" s="148">
        <f t="shared" si="0"/>
        <v>0</v>
      </c>
      <c r="H36" s="148"/>
    </row>
    <row r="37" spans="1:8" ht="18.75">
      <c r="A37" s="20" t="s">
        <v>682</v>
      </c>
      <c r="B37" s="148">
        <v>172000</v>
      </c>
      <c r="C37" s="148">
        <v>0</v>
      </c>
      <c r="D37" s="148">
        <v>0</v>
      </c>
      <c r="E37" s="148"/>
      <c r="F37" s="148">
        <v>0</v>
      </c>
      <c r="G37" s="148">
        <f t="shared" si="0"/>
        <v>172000</v>
      </c>
      <c r="H37" s="148"/>
    </row>
    <row r="38" spans="1:8" ht="18.75">
      <c r="A38" s="20" t="s">
        <v>644</v>
      </c>
      <c r="B38" s="148">
        <v>377500</v>
      </c>
      <c r="C38" s="148">
        <v>0</v>
      </c>
      <c r="D38" s="148">
        <v>0</v>
      </c>
      <c r="E38" s="148"/>
      <c r="F38" s="148"/>
      <c r="G38" s="148">
        <f t="shared" si="0"/>
        <v>377500</v>
      </c>
      <c r="H38" s="148"/>
    </row>
    <row r="39" spans="1:8" ht="18.75">
      <c r="A39" s="20" t="s">
        <v>645</v>
      </c>
      <c r="B39" s="154">
        <v>0</v>
      </c>
      <c r="C39" s="148">
        <v>43900</v>
      </c>
      <c r="D39" s="148"/>
      <c r="E39" s="148"/>
      <c r="F39" s="148">
        <v>0</v>
      </c>
      <c r="G39" s="154">
        <f t="shared" si="0"/>
        <v>43900</v>
      </c>
      <c r="H39" s="148"/>
    </row>
    <row r="40" spans="1:9" ht="18.75">
      <c r="A40" s="21" t="s">
        <v>283</v>
      </c>
      <c r="B40" s="601">
        <f>SUM(B23:B39)</f>
        <v>10226375.68</v>
      </c>
      <c r="C40" s="150">
        <f>SUM(C24:C39)</f>
        <v>316260</v>
      </c>
      <c r="D40" s="150">
        <f>SUM(D24:D39)</f>
        <v>12900</v>
      </c>
      <c r="E40" s="150">
        <f>SUM(E24:E39)</f>
        <v>0</v>
      </c>
      <c r="F40" s="150">
        <f>SUM(F24:F39)</f>
        <v>0</v>
      </c>
      <c r="G40" s="601">
        <f>SUM(G23:G39)</f>
        <v>10529735.68</v>
      </c>
      <c r="H40" s="150"/>
      <c r="I40" s="137"/>
    </row>
    <row r="41" spans="1:8" ht="19.5" thickBot="1">
      <c r="A41" s="23" t="s">
        <v>72</v>
      </c>
      <c r="B41" s="155">
        <f aca="true" t="shared" si="1" ref="B41:G41">B22+B40</f>
        <v>28517892.54</v>
      </c>
      <c r="C41" s="155">
        <f t="shared" si="1"/>
        <v>609260</v>
      </c>
      <c r="D41" s="155">
        <f t="shared" si="1"/>
        <v>12900</v>
      </c>
      <c r="E41" s="155">
        <f t="shared" si="1"/>
        <v>0</v>
      </c>
      <c r="F41" s="155">
        <f t="shared" si="1"/>
        <v>0</v>
      </c>
      <c r="G41" s="155">
        <f t="shared" si="1"/>
        <v>29114252.54</v>
      </c>
      <c r="H41" s="156"/>
    </row>
    <row r="42" spans="1:9" ht="19.5" thickTop="1">
      <c r="A42" s="24" t="s">
        <v>646</v>
      </c>
      <c r="B42" s="272"/>
      <c r="C42" s="24"/>
      <c r="D42" s="24"/>
      <c r="E42" s="24"/>
      <c r="F42" s="24"/>
      <c r="G42" s="272"/>
      <c r="H42" s="24"/>
      <c r="I42" s="138"/>
    </row>
    <row r="43" ht="18.75">
      <c r="A43" s="13" t="s">
        <v>647</v>
      </c>
    </row>
  </sheetData>
  <sheetProtection/>
  <mergeCells count="4">
    <mergeCell ref="A1:H1"/>
    <mergeCell ref="A2:H2"/>
    <mergeCell ref="A3:H3"/>
    <mergeCell ref="A4:H4"/>
  </mergeCells>
  <printOptions horizontalCentered="1"/>
  <pageMargins left="0.2" right="0.11811023622047245" top="0.1968503937007874" bottom="0" header="0.1968503937007874" footer="0.1574803149606299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A1">
      <selection activeCell="F27" sqref="F27"/>
    </sheetView>
  </sheetViews>
  <sheetFormatPr defaultColWidth="9.140625" defaultRowHeight="15"/>
  <cols>
    <col min="1" max="1" width="8.57421875" style="26" customWidth="1"/>
    <col min="2" max="2" width="57.140625" style="26" customWidth="1"/>
    <col min="3" max="3" width="16.00390625" style="26" customWidth="1"/>
    <col min="4" max="4" width="15.8515625" style="26" customWidth="1"/>
    <col min="5" max="5" width="19.140625" style="26" customWidth="1"/>
    <col min="6" max="16384" width="9.00390625" style="26" customWidth="1"/>
  </cols>
  <sheetData>
    <row r="1" spans="1:5" ht="24.75">
      <c r="A1" s="618" t="s">
        <v>506</v>
      </c>
      <c r="B1" s="618"/>
      <c r="C1" s="618"/>
      <c r="D1" s="618"/>
      <c r="E1" s="25"/>
    </row>
    <row r="2" spans="1:5" ht="24.75">
      <c r="A2" s="618" t="s">
        <v>62</v>
      </c>
      <c r="B2" s="618"/>
      <c r="C2" s="618"/>
      <c r="D2" s="618"/>
      <c r="E2" s="25"/>
    </row>
    <row r="3" spans="1:5" ht="24.75">
      <c r="A3" s="618" t="s">
        <v>728</v>
      </c>
      <c r="B3" s="618"/>
      <c r="C3" s="618"/>
      <c r="D3" s="618"/>
      <c r="E3" s="25"/>
    </row>
    <row r="4" spans="1:4" ht="24.75">
      <c r="A4" s="118"/>
      <c r="B4" s="118"/>
      <c r="C4" s="118"/>
      <c r="D4" s="118"/>
    </row>
    <row r="5" spans="1:4" ht="24.75">
      <c r="A5" s="419" t="s">
        <v>61</v>
      </c>
      <c r="B5" s="420"/>
      <c r="C5" s="421" t="s">
        <v>879</v>
      </c>
      <c r="D5" s="421" t="s">
        <v>880</v>
      </c>
    </row>
    <row r="6" spans="1:4" ht="24.75">
      <c r="A6" s="37" t="s">
        <v>63</v>
      </c>
      <c r="B6" s="37" t="s">
        <v>64</v>
      </c>
      <c r="C6" s="37" t="s">
        <v>65</v>
      </c>
      <c r="D6" s="37" t="s">
        <v>65</v>
      </c>
    </row>
    <row r="7" spans="1:4" ht="24.75">
      <c r="A7" s="293">
        <v>1</v>
      </c>
      <c r="B7" s="189" t="s">
        <v>886</v>
      </c>
      <c r="C7" s="378"/>
      <c r="D7" s="296">
        <v>0</v>
      </c>
    </row>
    <row r="8" spans="1:4" ht="24.75">
      <c r="A8" s="290">
        <v>2</v>
      </c>
      <c r="B8" s="189" t="s">
        <v>429</v>
      </c>
      <c r="C8" s="379">
        <v>3342.95</v>
      </c>
      <c r="D8" s="379">
        <v>3318.01</v>
      </c>
    </row>
    <row r="9" spans="1:4" ht="24.75">
      <c r="A9" s="290">
        <v>3</v>
      </c>
      <c r="B9" s="189" t="s">
        <v>430</v>
      </c>
      <c r="C9" s="379"/>
      <c r="D9" s="379">
        <v>0</v>
      </c>
    </row>
    <row r="10" spans="1:4" ht="24.75">
      <c r="A10" s="290">
        <v>4</v>
      </c>
      <c r="B10" s="189" t="s">
        <v>431</v>
      </c>
      <c r="C10" s="380">
        <v>3494384.85</v>
      </c>
      <c r="D10" s="379">
        <v>2882287.67</v>
      </c>
    </row>
    <row r="11" spans="1:4" ht="24.75">
      <c r="A11" s="290">
        <v>5</v>
      </c>
      <c r="B11" s="189" t="s">
        <v>426</v>
      </c>
      <c r="C11" s="379"/>
      <c r="D11" s="379">
        <v>710559.26</v>
      </c>
    </row>
    <row r="12" spans="1:4" ht="24.75">
      <c r="A12" s="290">
        <v>6</v>
      </c>
      <c r="B12" s="189" t="s">
        <v>427</v>
      </c>
      <c r="C12" s="379"/>
      <c r="D12" s="379">
        <v>0</v>
      </c>
    </row>
    <row r="13" spans="1:4" ht="24.75">
      <c r="A13" s="290">
        <v>7</v>
      </c>
      <c r="B13" s="189" t="s">
        <v>428</v>
      </c>
      <c r="C13" s="379"/>
      <c r="D13" s="379">
        <v>0</v>
      </c>
    </row>
    <row r="14" spans="1:4" ht="24.75">
      <c r="A14" s="290">
        <v>8</v>
      </c>
      <c r="B14" s="189" t="s">
        <v>432</v>
      </c>
      <c r="C14" s="380">
        <v>54285.8</v>
      </c>
      <c r="D14" s="379">
        <v>54085.5</v>
      </c>
    </row>
    <row r="15" spans="1:4" ht="24.75">
      <c r="A15" s="290">
        <v>9</v>
      </c>
      <c r="B15" s="189" t="s">
        <v>424</v>
      </c>
      <c r="C15" s="380">
        <v>16887900.34</v>
      </c>
      <c r="D15" s="379">
        <v>10302960.76</v>
      </c>
    </row>
    <row r="16" spans="1:4" ht="24.75">
      <c r="A16" s="290">
        <v>10</v>
      </c>
      <c r="B16" s="189" t="s">
        <v>425</v>
      </c>
      <c r="C16" s="380">
        <v>43956.07</v>
      </c>
      <c r="D16" s="379">
        <v>43778.85</v>
      </c>
    </row>
    <row r="17" spans="1:4" ht="24.75">
      <c r="A17" s="290">
        <v>11</v>
      </c>
      <c r="B17" s="189" t="s">
        <v>423</v>
      </c>
      <c r="C17" s="379"/>
      <c r="D17" s="381">
        <v>0</v>
      </c>
    </row>
    <row r="18" spans="1:4" ht="24.75">
      <c r="A18" s="290">
        <v>12</v>
      </c>
      <c r="B18" s="292" t="s">
        <v>666</v>
      </c>
      <c r="C18" s="382">
        <v>10115000</v>
      </c>
      <c r="D18" s="383">
        <v>10000000</v>
      </c>
    </row>
    <row r="19" spans="1:4" ht="24.75">
      <c r="A19" s="40"/>
      <c r="B19" s="37" t="s">
        <v>66</v>
      </c>
      <c r="C19" s="377">
        <f>SUM(C7:C18)</f>
        <v>30598870.01</v>
      </c>
      <c r="D19" s="39">
        <f>SUM(D8:D18)</f>
        <v>23996990.049999997</v>
      </c>
    </row>
    <row r="21" ht="24.75">
      <c r="A21" s="28" t="s">
        <v>887</v>
      </c>
    </row>
    <row r="22" spans="1:4" ht="24.75">
      <c r="A22" s="37" t="s">
        <v>63</v>
      </c>
      <c r="B22" s="37" t="s">
        <v>64</v>
      </c>
      <c r="C22" s="37"/>
      <c r="D22" s="37" t="s">
        <v>65</v>
      </c>
    </row>
    <row r="23" spans="1:4" ht="24.75">
      <c r="A23" s="293"/>
      <c r="B23" s="295"/>
      <c r="C23" s="295"/>
      <c r="D23" s="296"/>
    </row>
    <row r="24" spans="1:4" ht="24.75">
      <c r="A24" s="291"/>
      <c r="B24" s="297"/>
      <c r="C24" s="297"/>
      <c r="D24" s="301"/>
    </row>
    <row r="25" spans="1:4" ht="24.75">
      <c r="A25" s="298"/>
      <c r="B25" s="299" t="s">
        <v>66</v>
      </c>
      <c r="C25" s="299"/>
      <c r="D25" s="300">
        <f>SUM(D23:D24)</f>
        <v>0</v>
      </c>
    </row>
    <row r="27" ht="24.75">
      <c r="A27" s="28" t="s">
        <v>888</v>
      </c>
    </row>
    <row r="28" spans="1:4" ht="24.75">
      <c r="A28" s="37" t="s">
        <v>63</v>
      </c>
      <c r="B28" s="37" t="s">
        <v>64</v>
      </c>
      <c r="C28" s="37"/>
      <c r="D28" s="37" t="s">
        <v>65</v>
      </c>
    </row>
    <row r="29" spans="1:4" ht="24.75">
      <c r="A29" s="293"/>
      <c r="B29" s="295"/>
      <c r="C29" s="295"/>
      <c r="D29" s="296"/>
    </row>
    <row r="30" spans="1:4" ht="24.75">
      <c r="A30" s="291"/>
      <c r="B30" s="297"/>
      <c r="C30" s="297"/>
      <c r="D30" s="301"/>
    </row>
    <row r="31" spans="1:4" ht="24.75">
      <c r="A31" s="298"/>
      <c r="B31" s="299" t="s">
        <v>66</v>
      </c>
      <c r="C31" s="299"/>
      <c r="D31" s="300">
        <f>SUM(D29:D30)</f>
        <v>0</v>
      </c>
    </row>
  </sheetData>
  <sheetProtection/>
  <mergeCells count="3">
    <mergeCell ref="A3:D3"/>
    <mergeCell ref="A2:D2"/>
    <mergeCell ref="A1:D1"/>
  </mergeCells>
  <printOptions horizontalCentered="1"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="110" zoomScaleNormal="110" zoomScalePageLayoutView="0" workbookViewId="0" topLeftCell="A1">
      <selection activeCell="K31" sqref="K31"/>
    </sheetView>
  </sheetViews>
  <sheetFormatPr defaultColWidth="9.140625" defaultRowHeight="15"/>
  <cols>
    <col min="1" max="1" width="21.8515625" style="26" customWidth="1"/>
    <col min="2" max="2" width="12.00390625" style="26" customWidth="1"/>
    <col min="3" max="3" width="13.140625" style="26" customWidth="1"/>
    <col min="4" max="4" width="11.57421875" style="26" customWidth="1"/>
    <col min="5" max="5" width="12.421875" style="26" customWidth="1"/>
    <col min="6" max="6" width="9.00390625" style="26" customWidth="1"/>
    <col min="7" max="7" width="10.7109375" style="26" bestFit="1" customWidth="1"/>
    <col min="8" max="16384" width="9.00390625" style="26" customWidth="1"/>
  </cols>
  <sheetData>
    <row r="1" spans="1:7" s="118" customFormat="1" ht="24.75">
      <c r="A1" s="618" t="s">
        <v>506</v>
      </c>
      <c r="B1" s="618"/>
      <c r="C1" s="618"/>
      <c r="D1" s="618"/>
      <c r="E1" s="618"/>
      <c r="F1" s="618"/>
      <c r="G1" s="618"/>
    </row>
    <row r="2" spans="1:7" s="118" customFormat="1" ht="24.75">
      <c r="A2" s="618" t="s">
        <v>62</v>
      </c>
      <c r="B2" s="618"/>
      <c r="C2" s="618"/>
      <c r="D2" s="618"/>
      <c r="E2" s="618"/>
      <c r="F2" s="618"/>
      <c r="G2" s="618"/>
    </row>
    <row r="3" spans="1:7" s="118" customFormat="1" ht="24.75">
      <c r="A3" s="618" t="s">
        <v>728</v>
      </c>
      <c r="B3" s="618"/>
      <c r="C3" s="618"/>
      <c r="D3" s="618"/>
      <c r="E3" s="618"/>
      <c r="F3" s="618"/>
      <c r="G3" s="618"/>
    </row>
    <row r="4" s="118" customFormat="1" ht="24.75">
      <c r="A4" s="422" t="s">
        <v>889</v>
      </c>
    </row>
    <row r="5" s="118" customFormat="1" ht="24.75">
      <c r="A5" s="422" t="s">
        <v>879</v>
      </c>
    </row>
    <row r="6" spans="1:7" s="118" customFormat="1" ht="24.75">
      <c r="A6" s="423" t="s">
        <v>899</v>
      </c>
      <c r="B6" s="639" t="s">
        <v>74</v>
      </c>
      <c r="C6" s="640"/>
      <c r="D6" s="639" t="s">
        <v>64</v>
      </c>
      <c r="E6" s="640"/>
      <c r="F6" s="639" t="s">
        <v>43</v>
      </c>
      <c r="G6" s="640"/>
    </row>
    <row r="7" spans="1:7" s="118" customFormat="1" ht="24.75">
      <c r="A7" s="302" t="s">
        <v>892</v>
      </c>
      <c r="B7" s="641" t="s">
        <v>893</v>
      </c>
      <c r="C7" s="642"/>
      <c r="D7" s="641" t="s">
        <v>894</v>
      </c>
      <c r="E7" s="642"/>
      <c r="F7" s="639"/>
      <c r="G7" s="640"/>
    </row>
    <row r="8" spans="1:7" s="118" customFormat="1" ht="24.75">
      <c r="A8" s="648" t="s">
        <v>60</v>
      </c>
      <c r="B8" s="649"/>
      <c r="C8" s="649"/>
      <c r="D8" s="649"/>
      <c r="E8" s="650"/>
      <c r="F8" s="639"/>
      <c r="G8" s="640"/>
    </row>
    <row r="9" spans="1:7" s="118" customFormat="1" ht="24.75">
      <c r="A9" s="302" t="s">
        <v>895</v>
      </c>
      <c r="B9" s="641" t="s">
        <v>896</v>
      </c>
      <c r="C9" s="642"/>
      <c r="D9" s="641" t="s">
        <v>897</v>
      </c>
      <c r="E9" s="642"/>
      <c r="F9" s="639"/>
      <c r="G9" s="640"/>
    </row>
    <row r="10" spans="1:7" s="118" customFormat="1" ht="24.75">
      <c r="A10" s="648" t="s">
        <v>60</v>
      </c>
      <c r="B10" s="649"/>
      <c r="C10" s="649"/>
      <c r="D10" s="649"/>
      <c r="E10" s="650"/>
      <c r="F10" s="639"/>
      <c r="G10" s="640"/>
    </row>
    <row r="11" spans="1:7" s="118" customFormat="1" ht="24.75">
      <c r="A11" s="302" t="s">
        <v>895</v>
      </c>
      <c r="B11" s="641" t="s">
        <v>26</v>
      </c>
      <c r="C11" s="642"/>
      <c r="D11" s="641" t="s">
        <v>898</v>
      </c>
      <c r="E11" s="642"/>
      <c r="F11" s="639"/>
      <c r="G11" s="640"/>
    </row>
    <row r="12" spans="1:7" s="118" customFormat="1" ht="24.75">
      <c r="A12" s="648" t="s">
        <v>60</v>
      </c>
      <c r="B12" s="649"/>
      <c r="C12" s="649"/>
      <c r="D12" s="649"/>
      <c r="E12" s="650"/>
      <c r="F12" s="639"/>
      <c r="G12" s="640"/>
    </row>
    <row r="13" spans="1:7" s="118" customFormat="1" ht="24.75">
      <c r="A13" s="648" t="s">
        <v>72</v>
      </c>
      <c r="B13" s="649"/>
      <c r="C13" s="649"/>
      <c r="D13" s="649"/>
      <c r="E13" s="650"/>
      <c r="F13" s="639"/>
      <c r="G13" s="640"/>
    </row>
    <row r="14" spans="1:7" s="118" customFormat="1" ht="24.75">
      <c r="A14" s="424"/>
      <c r="B14" s="424"/>
      <c r="C14" s="424"/>
      <c r="D14" s="424"/>
      <c r="E14" s="424"/>
      <c r="F14" s="425"/>
      <c r="G14" s="425"/>
    </row>
    <row r="15" spans="1:7" s="118" customFormat="1" ht="24.75">
      <c r="A15" s="652" t="s">
        <v>890</v>
      </c>
      <c r="B15" s="653"/>
      <c r="C15" s="654"/>
      <c r="D15" s="639" t="s">
        <v>879</v>
      </c>
      <c r="E15" s="640"/>
      <c r="F15" s="639" t="s">
        <v>880</v>
      </c>
      <c r="G15" s="640"/>
    </row>
    <row r="16" spans="1:7" s="118" customFormat="1" ht="24.75">
      <c r="A16" s="643" t="s">
        <v>900</v>
      </c>
      <c r="B16" s="644"/>
      <c r="C16" s="645"/>
      <c r="D16" s="647"/>
      <c r="E16" s="647"/>
      <c r="F16" s="647"/>
      <c r="G16" s="647"/>
    </row>
    <row r="17" spans="1:7" s="118" customFormat="1" ht="24.75">
      <c r="A17" s="646"/>
      <c r="B17" s="646"/>
      <c r="C17" s="646"/>
      <c r="D17" s="646"/>
      <c r="E17" s="646"/>
      <c r="F17" s="646"/>
      <c r="G17" s="646"/>
    </row>
    <row r="18" spans="1:7" s="118" customFormat="1" ht="24.75">
      <c r="A18" s="655" t="s">
        <v>60</v>
      </c>
      <c r="B18" s="656"/>
      <c r="C18" s="657"/>
      <c r="D18" s="639"/>
      <c r="E18" s="658"/>
      <c r="F18" s="639"/>
      <c r="G18" s="640"/>
    </row>
    <row r="19" spans="4:7" s="118" customFormat="1" ht="24.75">
      <c r="D19" s="651"/>
      <c r="E19" s="651"/>
      <c r="F19" s="651"/>
      <c r="G19" s="651"/>
    </row>
    <row r="20" s="118" customFormat="1" ht="24.75">
      <c r="A20" s="422" t="s">
        <v>891</v>
      </c>
    </row>
    <row r="21" spans="1:7" s="118" customFormat="1" ht="24.75">
      <c r="A21" s="637" t="s">
        <v>67</v>
      </c>
      <c r="B21" s="638" t="s">
        <v>908</v>
      </c>
      <c r="C21" s="638"/>
      <c r="D21" s="638"/>
      <c r="E21" s="638" t="s">
        <v>880</v>
      </c>
      <c r="F21" s="638"/>
      <c r="G21" s="638"/>
    </row>
    <row r="22" spans="1:7" ht="24.75">
      <c r="A22" s="637"/>
      <c r="B22" s="44" t="s">
        <v>68</v>
      </c>
      <c r="C22" s="44" t="s">
        <v>69</v>
      </c>
      <c r="D22" s="44" t="s">
        <v>43</v>
      </c>
      <c r="E22" s="44" t="s">
        <v>68</v>
      </c>
      <c r="F22" s="40" t="s">
        <v>69</v>
      </c>
      <c r="G22" s="40" t="s">
        <v>43</v>
      </c>
    </row>
    <row r="23" spans="1:7" ht="24.75">
      <c r="A23" s="32" t="s">
        <v>70</v>
      </c>
      <c r="B23" s="32"/>
      <c r="C23" s="40"/>
      <c r="D23" s="40"/>
      <c r="E23" s="360" t="s">
        <v>179</v>
      </c>
      <c r="F23" s="44" t="s">
        <v>179</v>
      </c>
      <c r="G23" s="44" t="s">
        <v>179</v>
      </c>
    </row>
    <row r="24" spans="1:7" ht="24.75">
      <c r="A24" s="310" t="s">
        <v>60</v>
      </c>
      <c r="B24" s="304"/>
      <c r="C24" s="40"/>
      <c r="D24" s="40"/>
      <c r="E24" s="40"/>
      <c r="F24" s="40"/>
      <c r="G24" s="40"/>
    </row>
    <row r="25" spans="1:7" ht="24.75">
      <c r="A25" s="32" t="s">
        <v>71</v>
      </c>
      <c r="B25" s="388"/>
      <c r="C25" s="389"/>
      <c r="D25" s="31"/>
      <c r="E25" s="389">
        <v>2560</v>
      </c>
      <c r="F25" s="388">
        <v>532</v>
      </c>
      <c r="G25" s="31">
        <v>24614.73</v>
      </c>
    </row>
    <row r="26" spans="1:7" ht="24.75">
      <c r="A26" s="33"/>
      <c r="B26" s="385"/>
      <c r="C26" s="389"/>
      <c r="D26" s="34"/>
      <c r="E26" s="389">
        <v>2559</v>
      </c>
      <c r="F26" s="385">
        <v>158</v>
      </c>
      <c r="G26" s="34">
        <v>7310.46</v>
      </c>
    </row>
    <row r="27" spans="1:7" ht="24.75">
      <c r="A27" s="33"/>
      <c r="B27" s="385"/>
      <c r="C27" s="389"/>
      <c r="D27" s="34"/>
      <c r="E27" s="389">
        <v>2558</v>
      </c>
      <c r="F27" s="385">
        <v>103</v>
      </c>
      <c r="G27" s="34">
        <v>4886.1</v>
      </c>
    </row>
    <row r="28" spans="1:7" ht="24.75">
      <c r="A28" s="33"/>
      <c r="B28" s="385"/>
      <c r="C28" s="389"/>
      <c r="D28" s="34"/>
      <c r="E28" s="389">
        <v>2557</v>
      </c>
      <c r="F28" s="385">
        <v>46</v>
      </c>
      <c r="G28" s="34">
        <v>2022.08</v>
      </c>
    </row>
    <row r="29" spans="1:7" ht="24.75">
      <c r="A29" s="36"/>
      <c r="B29" s="386"/>
      <c r="C29" s="390"/>
      <c r="D29" s="42"/>
      <c r="E29" s="390">
        <v>2556</v>
      </c>
      <c r="F29" s="386">
        <v>72</v>
      </c>
      <c r="G29" s="42">
        <v>6235.34</v>
      </c>
    </row>
    <row r="30" spans="1:7" ht="24.75">
      <c r="A30" s="310" t="s">
        <v>60</v>
      </c>
      <c r="B30" s="360"/>
      <c r="C30" s="358">
        <f>SUM(C25:C29)</f>
        <v>0</v>
      </c>
      <c r="D30" s="387">
        <f>SUM(D25:D29)</f>
        <v>0</v>
      </c>
      <c r="E30" s="307"/>
      <c r="F30" s="359">
        <f>SUM(F25:F29)</f>
        <v>911</v>
      </c>
      <c r="G30" s="308">
        <f>SUM(G25:G29)</f>
        <v>45068.71000000001</v>
      </c>
    </row>
    <row r="31" spans="1:7" ht="24.75">
      <c r="A31" s="32" t="s">
        <v>70</v>
      </c>
      <c r="B31" s="32"/>
      <c r="C31" s="40"/>
      <c r="D31" s="40"/>
      <c r="E31" s="360">
        <v>2560</v>
      </c>
      <c r="F31" s="44" t="s">
        <v>179</v>
      </c>
      <c r="G31" s="44" t="s">
        <v>179</v>
      </c>
    </row>
    <row r="32" spans="1:7" ht="24.75">
      <c r="A32" s="310" t="s">
        <v>60</v>
      </c>
      <c r="B32" s="304"/>
      <c r="C32" s="40"/>
      <c r="D32" s="40"/>
      <c r="E32" s="40"/>
      <c r="F32" s="40"/>
      <c r="G32" s="40"/>
    </row>
    <row r="33" spans="1:7" ht="24.75">
      <c r="A33" s="310" t="s">
        <v>72</v>
      </c>
      <c r="B33" s="304"/>
      <c r="C33" s="40"/>
      <c r="D33" s="40"/>
      <c r="E33" s="40"/>
      <c r="F33" s="40"/>
      <c r="G33" s="40"/>
    </row>
  </sheetData>
  <sheetProtection/>
  <mergeCells count="40">
    <mergeCell ref="A18:C18"/>
    <mergeCell ref="F16:G16"/>
    <mergeCell ref="D17:E17"/>
    <mergeCell ref="F17:G17"/>
    <mergeCell ref="D18:E18"/>
    <mergeCell ref="F18:G18"/>
    <mergeCell ref="D19:E19"/>
    <mergeCell ref="F19:G19"/>
    <mergeCell ref="A13:E13"/>
    <mergeCell ref="F13:G13"/>
    <mergeCell ref="A1:G1"/>
    <mergeCell ref="A2:G2"/>
    <mergeCell ref="A3:G3"/>
    <mergeCell ref="D15:E15"/>
    <mergeCell ref="F15:G15"/>
    <mergeCell ref="A15:C15"/>
    <mergeCell ref="A10:E10"/>
    <mergeCell ref="F10:G10"/>
    <mergeCell ref="B11:C11"/>
    <mergeCell ref="D11:E11"/>
    <mergeCell ref="F11:G11"/>
    <mergeCell ref="A12:E12"/>
    <mergeCell ref="F12:G12"/>
    <mergeCell ref="D7:E7"/>
    <mergeCell ref="F7:G7"/>
    <mergeCell ref="F8:G8"/>
    <mergeCell ref="A8:E8"/>
    <mergeCell ref="B9:C9"/>
    <mergeCell ref="D9:E9"/>
    <mergeCell ref="F9:G9"/>
    <mergeCell ref="A21:A22"/>
    <mergeCell ref="B21:D21"/>
    <mergeCell ref="E21:G21"/>
    <mergeCell ref="B6:C6"/>
    <mergeCell ref="D6:E6"/>
    <mergeCell ref="F6:G6"/>
    <mergeCell ref="B7:C7"/>
    <mergeCell ref="A16:C16"/>
    <mergeCell ref="A17:C17"/>
    <mergeCell ref="D16:E16"/>
  </mergeCells>
  <printOptions/>
  <pageMargins left="0.6299212598425197" right="0.1968503937007874" top="0.2362204724409449" bottom="0.1968503937007874" header="0.1968503937007874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120" zoomScaleNormal="120" zoomScalePageLayoutView="0" workbookViewId="0" topLeftCell="A1">
      <selection activeCell="B14" sqref="B14"/>
    </sheetView>
  </sheetViews>
  <sheetFormatPr defaultColWidth="9.140625" defaultRowHeight="15"/>
  <cols>
    <col min="1" max="1" width="22.421875" style="26" customWidth="1"/>
    <col min="2" max="2" width="32.57421875" style="26" customWidth="1"/>
    <col min="3" max="3" width="11.00390625" style="26" customWidth="1"/>
    <col min="4" max="4" width="11.421875" style="26" customWidth="1"/>
    <col min="5" max="5" width="11.57421875" style="26" customWidth="1"/>
    <col min="6" max="16384" width="9.00390625" style="26" customWidth="1"/>
  </cols>
  <sheetData>
    <row r="1" spans="1:5" ht="24.75">
      <c r="A1" s="659" t="s">
        <v>447</v>
      </c>
      <c r="B1" s="660"/>
      <c r="C1" s="660"/>
      <c r="D1" s="660"/>
      <c r="E1" s="660"/>
    </row>
    <row r="2" spans="1:5" ht="24.75">
      <c r="A2" s="659" t="s">
        <v>62</v>
      </c>
      <c r="B2" s="660"/>
      <c r="C2" s="660"/>
      <c r="D2" s="660"/>
      <c r="E2" s="660"/>
    </row>
    <row r="3" spans="1:5" ht="24.75">
      <c r="A3" s="659" t="s">
        <v>629</v>
      </c>
      <c r="B3" s="660"/>
      <c r="C3" s="660"/>
      <c r="D3" s="660"/>
      <c r="E3" s="660"/>
    </row>
    <row r="5" spans="1:5" s="118" customFormat="1" ht="24.75">
      <c r="A5" s="422" t="s">
        <v>901</v>
      </c>
      <c r="D5" s="426" t="s">
        <v>879</v>
      </c>
      <c r="E5" s="426" t="s">
        <v>880</v>
      </c>
    </row>
    <row r="6" ht="24.75">
      <c r="B6" s="26" t="s">
        <v>73</v>
      </c>
    </row>
    <row r="7" ht="24.75">
      <c r="B7" s="26" t="s">
        <v>902</v>
      </c>
    </row>
    <row r="8" spans="2:5" ht="24.75">
      <c r="B8" s="26" t="s">
        <v>903</v>
      </c>
      <c r="D8" s="305"/>
      <c r="E8" s="305"/>
    </row>
    <row r="9" spans="2:5" ht="25.5" thickBot="1">
      <c r="B9" s="314" t="s">
        <v>60</v>
      </c>
      <c r="D9" s="313"/>
      <c r="E9" s="313"/>
    </row>
    <row r="10" ht="25.5" thickTop="1"/>
  </sheetData>
  <sheetProtection/>
  <mergeCells count="3">
    <mergeCell ref="A1:E1"/>
    <mergeCell ref="A2:E2"/>
    <mergeCell ref="A3:E3"/>
  </mergeCells>
  <printOptions/>
  <pageMargins left="0.46" right="0.21" top="0.74" bottom="0.21" header="0.2" footer="0.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zoomScalePageLayoutView="0" workbookViewId="0" topLeftCell="A1">
      <selection activeCell="F11" sqref="F11"/>
    </sheetView>
  </sheetViews>
  <sheetFormatPr defaultColWidth="9.140625" defaultRowHeight="15"/>
  <cols>
    <col min="1" max="1" width="26.00390625" style="26" customWidth="1"/>
    <col min="2" max="2" width="32.57421875" style="26" customWidth="1"/>
    <col min="3" max="3" width="12.421875" style="26" customWidth="1"/>
    <col min="4" max="4" width="15.57421875" style="27" customWidth="1"/>
    <col min="5" max="16384" width="9.00390625" style="26" customWidth="1"/>
  </cols>
  <sheetData>
    <row r="1" spans="1:4" ht="24.75" customHeight="1">
      <c r="A1" s="670" t="s">
        <v>447</v>
      </c>
      <c r="B1" s="670"/>
      <c r="C1" s="670"/>
      <c r="D1" s="670"/>
    </row>
    <row r="2" spans="1:4" ht="24.75" customHeight="1">
      <c r="A2" s="670" t="s">
        <v>62</v>
      </c>
      <c r="B2" s="670"/>
      <c r="C2" s="670"/>
      <c r="D2" s="670"/>
    </row>
    <row r="3" spans="1:4" ht="24.75" customHeight="1">
      <c r="A3" s="670" t="s">
        <v>728</v>
      </c>
      <c r="B3" s="670"/>
      <c r="C3" s="670"/>
      <c r="D3" s="670"/>
    </row>
    <row r="4" ht="24.75">
      <c r="A4" s="28" t="s">
        <v>904</v>
      </c>
    </row>
    <row r="5" ht="24.75">
      <c r="A5" s="315" t="s">
        <v>879</v>
      </c>
    </row>
    <row r="6" spans="1:4" ht="24.75">
      <c r="A6" s="320" t="s">
        <v>905</v>
      </c>
      <c r="B6" s="666" t="s">
        <v>906</v>
      </c>
      <c r="C6" s="666"/>
      <c r="D6" s="322" t="s">
        <v>43</v>
      </c>
    </row>
    <row r="7" spans="1:4" ht="24.75">
      <c r="A7" s="312" t="s">
        <v>966</v>
      </c>
      <c r="B7" s="661" t="s">
        <v>965</v>
      </c>
      <c r="C7" s="662"/>
      <c r="D7" s="326">
        <v>100000</v>
      </c>
    </row>
    <row r="8" spans="1:4" ht="24.75">
      <c r="A8" s="312" t="s">
        <v>967</v>
      </c>
      <c r="B8" s="663" t="s">
        <v>968</v>
      </c>
      <c r="C8" s="664"/>
      <c r="D8" s="324">
        <v>100000</v>
      </c>
    </row>
    <row r="9" spans="1:4" ht="24.75">
      <c r="A9" s="312" t="s">
        <v>969</v>
      </c>
      <c r="B9" s="665" t="s">
        <v>970</v>
      </c>
      <c r="C9" s="665"/>
      <c r="D9" s="324">
        <v>100000</v>
      </c>
    </row>
    <row r="10" spans="1:4" ht="24.75">
      <c r="A10" s="312" t="s">
        <v>971</v>
      </c>
      <c r="B10" s="665" t="s">
        <v>972</v>
      </c>
      <c r="C10" s="665"/>
      <c r="D10" s="324">
        <v>10632</v>
      </c>
    </row>
    <row r="11" spans="1:4" ht="24.75">
      <c r="A11" s="312" t="s">
        <v>971</v>
      </c>
      <c r="B11" s="665" t="s">
        <v>998</v>
      </c>
      <c r="C11" s="665"/>
      <c r="D11" s="324">
        <v>100000</v>
      </c>
    </row>
    <row r="12" spans="1:4" ht="24.75">
      <c r="A12" s="312" t="s">
        <v>973</v>
      </c>
      <c r="B12" s="665" t="s">
        <v>974</v>
      </c>
      <c r="C12" s="665"/>
      <c r="D12" s="324">
        <v>50000</v>
      </c>
    </row>
    <row r="13" spans="1:4" ht="24.75">
      <c r="A13" s="312" t="s">
        <v>975</v>
      </c>
      <c r="B13" s="665" t="s">
        <v>976</v>
      </c>
      <c r="C13" s="665"/>
      <c r="D13" s="324">
        <v>50000</v>
      </c>
    </row>
    <row r="14" spans="1:4" ht="24.75">
      <c r="A14" s="312" t="s">
        <v>1011</v>
      </c>
      <c r="B14" s="665" t="s">
        <v>1012</v>
      </c>
      <c r="C14" s="665"/>
      <c r="D14" s="324">
        <v>10632</v>
      </c>
    </row>
    <row r="15" spans="1:4" ht="24.75">
      <c r="A15" s="312" t="s">
        <v>977</v>
      </c>
      <c r="B15" s="665" t="s">
        <v>978</v>
      </c>
      <c r="C15" s="665"/>
      <c r="D15" s="324">
        <v>100000</v>
      </c>
    </row>
    <row r="16" spans="1:4" ht="24.75">
      <c r="A16" s="312" t="s">
        <v>999</v>
      </c>
      <c r="B16" s="665" t="s">
        <v>1000</v>
      </c>
      <c r="C16" s="665"/>
      <c r="D16" s="324">
        <v>10632</v>
      </c>
    </row>
    <row r="17" spans="1:4" ht="24.75">
      <c r="A17" s="312" t="s">
        <v>979</v>
      </c>
      <c r="B17" s="665" t="s">
        <v>980</v>
      </c>
      <c r="C17" s="665"/>
      <c r="D17" s="324">
        <v>100000</v>
      </c>
    </row>
    <row r="18" spans="1:4" ht="24.75">
      <c r="A18" s="312" t="s">
        <v>981</v>
      </c>
      <c r="B18" s="665" t="s">
        <v>982</v>
      </c>
      <c r="C18" s="665"/>
      <c r="D18" s="324">
        <v>100000</v>
      </c>
    </row>
    <row r="19" spans="1:4" ht="24.75">
      <c r="A19" s="312" t="s">
        <v>981</v>
      </c>
      <c r="B19" s="665" t="s">
        <v>1001</v>
      </c>
      <c r="C19" s="665"/>
      <c r="D19" s="324">
        <v>10632</v>
      </c>
    </row>
    <row r="20" spans="1:4" ht="24.75">
      <c r="A20" s="312" t="s">
        <v>1013</v>
      </c>
      <c r="B20" s="665" t="s">
        <v>983</v>
      </c>
      <c r="C20" s="665"/>
      <c r="D20" s="324">
        <v>100000</v>
      </c>
    </row>
    <row r="21" spans="1:4" ht="24.75">
      <c r="A21" s="312" t="s">
        <v>984</v>
      </c>
      <c r="B21" s="665" t="s">
        <v>985</v>
      </c>
      <c r="C21" s="665"/>
      <c r="D21" s="324">
        <v>100000</v>
      </c>
    </row>
    <row r="22" spans="1:4" ht="24.75">
      <c r="A22" s="312" t="s">
        <v>1002</v>
      </c>
      <c r="B22" s="665" t="s">
        <v>1003</v>
      </c>
      <c r="C22" s="665"/>
      <c r="D22" s="324">
        <v>10632</v>
      </c>
    </row>
    <row r="23" spans="1:4" ht="24.75">
      <c r="A23" s="312" t="s">
        <v>986</v>
      </c>
      <c r="B23" s="665" t="s">
        <v>987</v>
      </c>
      <c r="C23" s="665"/>
      <c r="D23" s="324">
        <v>100000</v>
      </c>
    </row>
    <row r="24" spans="1:4" ht="24.75">
      <c r="A24" s="312" t="s">
        <v>988</v>
      </c>
      <c r="B24" s="665" t="s">
        <v>989</v>
      </c>
      <c r="C24" s="665"/>
      <c r="D24" s="324">
        <v>100000</v>
      </c>
    </row>
    <row r="25" spans="1:4" ht="24.75">
      <c r="A25" s="312" t="s">
        <v>1004</v>
      </c>
      <c r="B25" s="665" t="s">
        <v>1005</v>
      </c>
      <c r="C25" s="665"/>
      <c r="D25" s="324">
        <v>10632</v>
      </c>
    </row>
    <row r="26" spans="1:4" ht="24.75">
      <c r="A26" s="312" t="s">
        <v>990</v>
      </c>
      <c r="B26" s="665" t="s">
        <v>991</v>
      </c>
      <c r="C26" s="665"/>
      <c r="D26" s="324">
        <v>100000</v>
      </c>
    </row>
    <row r="27" spans="1:4" ht="24.75">
      <c r="A27" s="312" t="s">
        <v>1006</v>
      </c>
      <c r="B27" s="665" t="s">
        <v>1007</v>
      </c>
      <c r="C27" s="665"/>
      <c r="D27" s="324">
        <v>42528</v>
      </c>
    </row>
    <row r="28" spans="1:4" ht="24.75">
      <c r="A28" s="312" t="s">
        <v>992</v>
      </c>
      <c r="B28" s="665" t="s">
        <v>993</v>
      </c>
      <c r="C28" s="665"/>
      <c r="D28" s="324">
        <v>100000</v>
      </c>
    </row>
    <row r="29" spans="1:4" ht="24.75">
      <c r="A29" s="312" t="s">
        <v>992</v>
      </c>
      <c r="B29" s="665" t="s">
        <v>1008</v>
      </c>
      <c r="C29" s="665"/>
      <c r="D29" s="324">
        <v>10632</v>
      </c>
    </row>
    <row r="30" spans="1:4" ht="24.75">
      <c r="A30" s="312" t="s">
        <v>994</v>
      </c>
      <c r="B30" s="665" t="s">
        <v>995</v>
      </c>
      <c r="C30" s="665"/>
      <c r="D30" s="324">
        <v>100000</v>
      </c>
    </row>
    <row r="31" spans="1:4" ht="24.75">
      <c r="A31" s="312" t="s">
        <v>1009</v>
      </c>
      <c r="B31" s="665" t="s">
        <v>1010</v>
      </c>
      <c r="C31" s="665"/>
      <c r="D31" s="324">
        <v>10632</v>
      </c>
    </row>
    <row r="32" spans="1:4" ht="24.75">
      <c r="A32" s="312" t="s">
        <v>996</v>
      </c>
      <c r="B32" s="665" t="s">
        <v>997</v>
      </c>
      <c r="C32" s="665"/>
      <c r="D32" s="327">
        <v>100000</v>
      </c>
    </row>
    <row r="33" spans="1:4" ht="24.75">
      <c r="A33" s="667" t="s">
        <v>60</v>
      </c>
      <c r="B33" s="668"/>
      <c r="C33" s="669"/>
      <c r="D33" s="35">
        <f>SUM(D7:D32)</f>
        <v>1727584</v>
      </c>
    </row>
    <row r="34" spans="1:3" ht="24.75">
      <c r="A34" s="321"/>
      <c r="B34" s="321"/>
      <c r="C34" s="321"/>
    </row>
    <row r="35" ht="24.75">
      <c r="A35" s="28" t="s">
        <v>904</v>
      </c>
    </row>
    <row r="36" ht="24.75">
      <c r="A36" s="315" t="s">
        <v>880</v>
      </c>
    </row>
    <row r="37" spans="1:4" ht="24.75">
      <c r="A37" s="320" t="s">
        <v>905</v>
      </c>
      <c r="B37" s="666" t="s">
        <v>906</v>
      </c>
      <c r="C37" s="666"/>
      <c r="D37" s="322" t="s">
        <v>43</v>
      </c>
    </row>
    <row r="38" spans="1:4" ht="24.75">
      <c r="A38" s="312" t="s">
        <v>966</v>
      </c>
      <c r="B38" s="661" t="s">
        <v>965</v>
      </c>
      <c r="C38" s="662"/>
      <c r="D38" s="323">
        <v>100000</v>
      </c>
    </row>
    <row r="39" spans="1:4" ht="24.75">
      <c r="A39" s="312" t="s">
        <v>967</v>
      </c>
      <c r="B39" s="663" t="s">
        <v>968</v>
      </c>
      <c r="C39" s="664"/>
      <c r="D39" s="324">
        <v>100000</v>
      </c>
    </row>
    <row r="40" spans="1:4" ht="24.75">
      <c r="A40" s="312" t="s">
        <v>969</v>
      </c>
      <c r="B40" s="665" t="s">
        <v>970</v>
      </c>
      <c r="C40" s="665"/>
      <c r="D40" s="324">
        <v>100000</v>
      </c>
    </row>
    <row r="41" spans="1:4" ht="24.75">
      <c r="A41" s="312" t="s">
        <v>971</v>
      </c>
      <c r="B41" s="665" t="s">
        <v>972</v>
      </c>
      <c r="C41" s="665"/>
      <c r="D41" s="324">
        <v>10632</v>
      </c>
    </row>
    <row r="42" spans="1:4" ht="24.75">
      <c r="A42" s="312" t="s">
        <v>971</v>
      </c>
      <c r="B42" s="665" t="s">
        <v>998</v>
      </c>
      <c r="C42" s="665"/>
      <c r="D42" s="324">
        <v>100000</v>
      </c>
    </row>
    <row r="43" spans="1:4" ht="24.75">
      <c r="A43" s="312" t="s">
        <v>973</v>
      </c>
      <c r="B43" s="665" t="s">
        <v>974</v>
      </c>
      <c r="C43" s="665"/>
      <c r="D43" s="324">
        <v>50000</v>
      </c>
    </row>
    <row r="44" spans="1:4" ht="24.75">
      <c r="A44" s="312" t="s">
        <v>975</v>
      </c>
      <c r="B44" s="665" t="s">
        <v>976</v>
      </c>
      <c r="C44" s="665"/>
      <c r="D44" s="324">
        <v>50000</v>
      </c>
    </row>
    <row r="45" spans="1:4" ht="24.75">
      <c r="A45" s="312" t="s">
        <v>1011</v>
      </c>
      <c r="B45" s="665" t="s">
        <v>1012</v>
      </c>
      <c r="C45" s="665"/>
      <c r="D45" s="324">
        <v>10632</v>
      </c>
    </row>
    <row r="46" spans="1:4" ht="24.75">
      <c r="A46" s="312" t="s">
        <v>977</v>
      </c>
      <c r="B46" s="665" t="s">
        <v>978</v>
      </c>
      <c r="C46" s="665"/>
      <c r="D46" s="324">
        <v>100000</v>
      </c>
    </row>
    <row r="47" spans="1:4" ht="24.75">
      <c r="A47" s="312" t="s">
        <v>999</v>
      </c>
      <c r="B47" s="665" t="s">
        <v>1000</v>
      </c>
      <c r="C47" s="665"/>
      <c r="D47" s="324">
        <v>10632</v>
      </c>
    </row>
    <row r="48" spans="1:4" ht="24.75">
      <c r="A48" s="312" t="s">
        <v>979</v>
      </c>
      <c r="B48" s="665" t="s">
        <v>980</v>
      </c>
      <c r="C48" s="665"/>
      <c r="D48" s="324">
        <v>100000</v>
      </c>
    </row>
    <row r="49" spans="1:4" ht="24.75">
      <c r="A49" s="312" t="s">
        <v>981</v>
      </c>
      <c r="B49" s="665" t="s">
        <v>982</v>
      </c>
      <c r="C49" s="665"/>
      <c r="D49" s="324">
        <v>100000</v>
      </c>
    </row>
    <row r="50" spans="1:4" ht="24.75">
      <c r="A50" s="312" t="s">
        <v>981</v>
      </c>
      <c r="B50" s="665" t="s">
        <v>1001</v>
      </c>
      <c r="C50" s="665"/>
      <c r="D50" s="324">
        <v>10632</v>
      </c>
    </row>
    <row r="51" spans="1:4" ht="24.75">
      <c r="A51" s="312" t="s">
        <v>1013</v>
      </c>
      <c r="B51" s="665" t="s">
        <v>983</v>
      </c>
      <c r="C51" s="665"/>
      <c r="D51" s="324">
        <v>100000</v>
      </c>
    </row>
    <row r="52" spans="1:4" ht="24.75">
      <c r="A52" s="312" t="s">
        <v>984</v>
      </c>
      <c r="B52" s="665" t="s">
        <v>985</v>
      </c>
      <c r="C52" s="665"/>
      <c r="D52" s="324">
        <v>100000</v>
      </c>
    </row>
    <row r="53" spans="1:4" ht="24.75">
      <c r="A53" s="312" t="s">
        <v>1002</v>
      </c>
      <c r="B53" s="665" t="s">
        <v>1003</v>
      </c>
      <c r="C53" s="665"/>
      <c r="D53" s="324">
        <v>10632</v>
      </c>
    </row>
    <row r="54" spans="1:4" ht="24.75">
      <c r="A54" s="312" t="s">
        <v>986</v>
      </c>
      <c r="B54" s="665" t="s">
        <v>987</v>
      </c>
      <c r="C54" s="665"/>
      <c r="D54" s="324">
        <v>100000</v>
      </c>
    </row>
    <row r="55" spans="1:4" ht="24.75">
      <c r="A55" s="312" t="s">
        <v>988</v>
      </c>
      <c r="B55" s="665" t="s">
        <v>989</v>
      </c>
      <c r="C55" s="665"/>
      <c r="D55" s="324">
        <v>100000</v>
      </c>
    </row>
    <row r="56" spans="1:4" ht="24.75">
      <c r="A56" s="312" t="s">
        <v>1004</v>
      </c>
      <c r="B56" s="665" t="s">
        <v>1005</v>
      </c>
      <c r="C56" s="665"/>
      <c r="D56" s="324">
        <v>10632</v>
      </c>
    </row>
    <row r="57" spans="1:4" ht="24.75">
      <c r="A57" s="312" t="s">
        <v>990</v>
      </c>
      <c r="B57" s="665" t="s">
        <v>991</v>
      </c>
      <c r="C57" s="665"/>
      <c r="D57" s="324">
        <v>100000</v>
      </c>
    </row>
    <row r="58" spans="1:4" ht="24.75">
      <c r="A58" s="312" t="s">
        <v>1006</v>
      </c>
      <c r="B58" s="665" t="s">
        <v>1007</v>
      </c>
      <c r="C58" s="665"/>
      <c r="D58" s="324">
        <v>42528</v>
      </c>
    </row>
    <row r="59" spans="1:4" ht="24.75">
      <c r="A59" s="312" t="s">
        <v>992</v>
      </c>
      <c r="B59" s="665" t="s">
        <v>993</v>
      </c>
      <c r="C59" s="665"/>
      <c r="D59" s="324">
        <v>100000</v>
      </c>
    </row>
    <row r="60" spans="1:4" ht="24.75">
      <c r="A60" s="312" t="s">
        <v>992</v>
      </c>
      <c r="B60" s="665" t="s">
        <v>1008</v>
      </c>
      <c r="C60" s="665"/>
      <c r="D60" s="324">
        <v>10632</v>
      </c>
    </row>
    <row r="61" spans="1:4" ht="24.75">
      <c r="A61" s="312" t="s">
        <v>994</v>
      </c>
      <c r="B61" s="665" t="s">
        <v>995</v>
      </c>
      <c r="C61" s="665"/>
      <c r="D61" s="324">
        <v>100000</v>
      </c>
    </row>
    <row r="62" spans="1:4" ht="24.75">
      <c r="A62" s="312" t="s">
        <v>1009</v>
      </c>
      <c r="B62" s="665" t="s">
        <v>1010</v>
      </c>
      <c r="C62" s="665"/>
      <c r="D62" s="324">
        <v>10632</v>
      </c>
    </row>
    <row r="63" spans="1:4" ht="24.75">
      <c r="A63" s="312" t="s">
        <v>996</v>
      </c>
      <c r="B63" s="665" t="s">
        <v>997</v>
      </c>
      <c r="C63" s="665"/>
      <c r="D63" s="325">
        <v>100000</v>
      </c>
    </row>
    <row r="64" spans="1:4" ht="24.75">
      <c r="A64" s="667" t="s">
        <v>60</v>
      </c>
      <c r="B64" s="668"/>
      <c r="C64" s="669"/>
      <c r="D64" s="35">
        <f>SUM(D38:D63)</f>
        <v>1727584</v>
      </c>
    </row>
  </sheetData>
  <sheetProtection/>
  <mergeCells count="59">
    <mergeCell ref="B28:C28"/>
    <mergeCell ref="B32:C32"/>
    <mergeCell ref="A1:D1"/>
    <mergeCell ref="A2:D2"/>
    <mergeCell ref="A3:D3"/>
    <mergeCell ref="A33:C33"/>
    <mergeCell ref="B29:C29"/>
    <mergeCell ref="B30:C30"/>
    <mergeCell ref="B31:C31"/>
    <mergeCell ref="B26:C26"/>
    <mergeCell ref="B27:C27"/>
    <mergeCell ref="B23:C23"/>
    <mergeCell ref="B24:C24"/>
    <mergeCell ref="B25:C25"/>
    <mergeCell ref="B20:C20"/>
    <mergeCell ref="B21:C21"/>
    <mergeCell ref="B22:C22"/>
    <mergeCell ref="B9:C9"/>
    <mergeCell ref="B10:C10"/>
    <mergeCell ref="B17:C17"/>
    <mergeCell ref="B18:C18"/>
    <mergeCell ref="B19:C19"/>
    <mergeCell ref="B14:C14"/>
    <mergeCell ref="B15:C15"/>
    <mergeCell ref="B16:C16"/>
    <mergeCell ref="B62:C62"/>
    <mergeCell ref="B63:C63"/>
    <mergeCell ref="A64:C64"/>
    <mergeCell ref="B59:C59"/>
    <mergeCell ref="B60:C60"/>
    <mergeCell ref="B61:C61"/>
    <mergeCell ref="B56:C56"/>
    <mergeCell ref="B57:C57"/>
    <mergeCell ref="B58:C58"/>
    <mergeCell ref="B53:C53"/>
    <mergeCell ref="B54:C54"/>
    <mergeCell ref="B55:C55"/>
    <mergeCell ref="B50:C50"/>
    <mergeCell ref="B51:C51"/>
    <mergeCell ref="B52:C52"/>
    <mergeCell ref="B47:C47"/>
    <mergeCell ref="B48:C48"/>
    <mergeCell ref="B49:C49"/>
    <mergeCell ref="B44:C44"/>
    <mergeCell ref="B45:C45"/>
    <mergeCell ref="B46:C46"/>
    <mergeCell ref="B41:C41"/>
    <mergeCell ref="B42:C42"/>
    <mergeCell ref="B43:C43"/>
    <mergeCell ref="B38:C38"/>
    <mergeCell ref="B39:C39"/>
    <mergeCell ref="B40:C40"/>
    <mergeCell ref="B37:C37"/>
    <mergeCell ref="B6:C6"/>
    <mergeCell ref="B7:C7"/>
    <mergeCell ref="B11:C11"/>
    <mergeCell ref="B12:C12"/>
    <mergeCell ref="B13:C13"/>
    <mergeCell ref="B8:C8"/>
  </mergeCells>
  <printOptions/>
  <pageMargins left="0.8" right="0.1968503937007874" top="0.2362204724409449" bottom="0.1968503937007874" header="0.1968503937007874" footer="0.2362204724409449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Mr.KKD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Corporate Edition</cp:lastModifiedBy>
  <cp:lastPrinted>2018-10-24T06:01:19Z</cp:lastPrinted>
  <dcterms:created xsi:type="dcterms:W3CDTF">2016-03-10T07:18:54Z</dcterms:created>
  <dcterms:modified xsi:type="dcterms:W3CDTF">2018-10-25T03:56:45Z</dcterms:modified>
  <cp:category/>
  <cp:version/>
  <cp:contentType/>
  <cp:contentStatus/>
</cp:coreProperties>
</file>