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600" windowHeight="7170" firstSheet="5" activeTab="9"/>
  </bookViews>
  <sheets>
    <sheet name="งบรับ-จ่ายรวมเงินอุดหนุน" sheetId="1" r:id="rId1"/>
    <sheet name="งบทดลองหลังปรับปรุง" sheetId="2" r:id="rId2"/>
    <sheet name="งบแสดงฐานะการเงิน1" sheetId="3" r:id="rId3"/>
    <sheet name="หมายเหตุ2งบทรัพย์สิน" sheetId="4" r:id="rId4"/>
    <sheet name="เงินฝากธนาคารและรายได้ค้างรับ" sheetId="5" r:id="rId5"/>
    <sheet name="ลูกหนี้ค่าภาษี" sheetId="6" r:id="rId6"/>
    <sheet name="ลูกหนี้รายได้อื่น" sheetId="7" r:id="rId7"/>
    <sheet name="รายจ่ายค้างจ่าย" sheetId="8" r:id="rId8"/>
    <sheet name="เงินรับฝาก" sheetId="9" r:id="rId9"/>
    <sheet name="เงินสะสม" sheetId="10" r:id="rId10"/>
    <sheet name="Sheet2" sheetId="11" r:id="rId11"/>
  </sheets>
  <externalReferences>
    <externalReference r:id="rId14"/>
  </externalReferences>
  <definedNames>
    <definedName name="_xlnm.Print_Titles" localSheetId="2">'งบแสดงฐานะการเงิน1'!$1:$4</definedName>
    <definedName name="_xlnm.Print_Titles" localSheetId="9">'เงินสะสม'!$1:$5</definedName>
    <definedName name="_xlnm.Print_Titles" localSheetId="7">'รายจ่ายค้างจ่าย'!$1:$7</definedName>
    <definedName name="_xlnm.Print_Titles" localSheetId="3">'หมายเหตุ2งบทรัพย์สิน'!$4:$6</definedName>
  </definedNames>
  <calcPr fullCalcOnLoad="1"/>
</workbook>
</file>

<file path=xl/sharedStrings.xml><?xml version="1.0" encoding="utf-8"?>
<sst xmlns="http://schemas.openxmlformats.org/spreadsheetml/2006/main" count="664" uniqueCount="431">
  <si>
    <t>งบแสดงฐานะการเงิน</t>
  </si>
  <si>
    <t>ทรัพย์สินตามงบทรัพย์สิน</t>
  </si>
  <si>
    <t>สินทรัพย์</t>
  </si>
  <si>
    <t>สินทรัพย์หมุนเวียน</t>
  </si>
  <si>
    <t>เงินสดและเงินฝากธนาคาร</t>
  </si>
  <si>
    <t>เงินฝาก ก.ส.ท.</t>
  </si>
  <si>
    <t>ลูกหนี้เงินยืม</t>
  </si>
  <si>
    <t>รายได้จากรัฐบาลค้างรับ</t>
  </si>
  <si>
    <t>ลูกหนี้ค่าภาษี</t>
  </si>
  <si>
    <t>ลูกหนี้รายได้อื่น ๆ</t>
  </si>
  <si>
    <t>ลูกหนี้อื่น ๆ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</si>
  <si>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</si>
  <si>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</si>
  <si>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</si>
  <si>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หุ้นในโรงพิมพ์อาสารักษาดินแดน</t>
  </si>
  <si>
    <t>ทรัพย์สินเกิดจากเงินกู้</t>
  </si>
  <si>
    <t>สินทรัพย์ไม่หมุนเวียนอื่น</t>
  </si>
  <si>
    <t>รวมสินทรัพย์ไม่หมุนเวียน</t>
  </si>
  <si>
    <t>หมายเหตุ</t>
  </si>
  <si>
    <t>รวมสินทรัพย์</t>
  </si>
  <si>
    <t>ทุนทรัพย์สิน</t>
  </si>
  <si>
    <t>หนี้สิน</t>
  </si>
  <si>
    <t>หนี้สินหมุนเวียน</t>
  </si>
  <si>
    <t>รายจ่ายค้างจ่าย</t>
  </si>
  <si>
    <t>ฎีกาค้างจ่าย</t>
  </si>
  <si>
    <t>รายจ่ายผัดส่งใบสำคัญ</t>
  </si>
  <si>
    <t>เงินรับฝาก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</si>
  <si>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</si>
  <si>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</si>
  <si>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</si>
  <si>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เจ้าหนี้เงินกู้</t>
  </si>
  <si>
    <t>หนี้สินไม่หมุนเวียนอื่นๆ</t>
  </si>
  <si>
    <t>รวมหนี้สินไม่หมุนเวียน</t>
  </si>
  <si>
    <t>รวมหนี้สิน</t>
  </si>
  <si>
    <t>เงินสะสม</t>
  </si>
  <si>
    <t>เงินทุนสำรองเงินสะสม</t>
  </si>
  <si>
    <t>รวมเงินสะสม</t>
  </si>
  <si>
    <t>รวมหนี้สินและเงินสะสม</t>
  </si>
  <si>
    <t>หมายเหตุ 2 งบทรัพย์สิน</t>
  </si>
  <si>
    <t>ประเภททรัพย์สิน</t>
  </si>
  <si>
    <t>ราคาทรัพย์สิน</t>
  </si>
  <si>
    <t>แหล่งที่มาของทรัพย์สินทั้งหมด</t>
  </si>
  <si>
    <t>ชื่อ</t>
  </si>
  <si>
    <t>จำนวนเงิน</t>
  </si>
  <si>
    <t>ก. อสังหาริมทรัพย์</t>
  </si>
  <si>
    <t>ข.สังหาริมทรัพย์</t>
  </si>
  <si>
    <t xml:space="preserve">     1.ครุภัณฑ์ยานพาหนะและขนส่ง</t>
  </si>
  <si>
    <t xml:space="preserve">     2.ครุภัณฑ์สำนักงาน</t>
  </si>
  <si>
    <t xml:space="preserve">     3.ครุภัณฑ์การเกษตร</t>
  </si>
  <si>
    <t xml:space="preserve">     4.ครุภัณฑ์ไฟฟ้าและวิทยุ</t>
  </si>
  <si>
    <t xml:space="preserve">     5.ครุภัณฑ์สำรวจ</t>
  </si>
  <si>
    <t xml:space="preserve">     6.ครุภัณฑ์งานบ้านงานครัว</t>
  </si>
  <si>
    <t xml:space="preserve">     7.ครุภัณฑ์โฆษณาและเผยแพร่</t>
  </si>
  <si>
    <t xml:space="preserve">     8.ครุภัณฑ์ดับเพลิง</t>
  </si>
  <si>
    <t xml:space="preserve">     9.ครุภัณฑ์วิทยาศาสตร์หรือการแพทย์</t>
  </si>
  <si>
    <t xml:space="preserve">     10.ครุภัณฑ์การศึกษา</t>
  </si>
  <si>
    <t xml:space="preserve">     11.ครุภัณฑ์คอมพิวเตอร์</t>
  </si>
  <si>
    <t xml:space="preserve">     13.ครุภัณฑ์ก่อสร้าง</t>
  </si>
  <si>
    <t>รายได้</t>
  </si>
  <si>
    <t>เงินกู้</t>
  </si>
  <si>
    <t>รวม</t>
  </si>
  <si>
    <t>หมายเหตุ 3 เงินสดและเงินฝากธนาคาร</t>
  </si>
  <si>
    <t>หมายเหตุประกอบงบแสดงฐานะการเงิน</t>
  </si>
  <si>
    <t>ลำดับที่</t>
  </si>
  <si>
    <t>รายการ</t>
  </si>
  <si>
    <t>จำนวนเงิน/บาท</t>
  </si>
  <si>
    <t>รวมเป็นเงินทั้งสิ้น</t>
  </si>
  <si>
    <t>หมายเหตุ 4 รายได้จากรัฐบาลค้างรับ</t>
  </si>
  <si>
    <t>หมายเหตุ 5 ลูกหนี้ค่าภาษี</t>
  </si>
  <si>
    <t>ประเภทลูกหนี้</t>
  </si>
  <si>
    <t>ประจำปี</t>
  </si>
  <si>
    <t>จำนวนราย</t>
  </si>
  <si>
    <t>ลูกหนี้ภาษีโรงเรือนและที่ดิน</t>
  </si>
  <si>
    <t>ลูกหนี้ภาษีบำรุงท้องที่</t>
  </si>
  <si>
    <t>ลูกหนี้ภาษีป้าย</t>
  </si>
  <si>
    <t>รวมทั้งสิ้น</t>
  </si>
  <si>
    <t xml:space="preserve">หมายเหตุ 6 ลูกหนี้รายได้อื่น ๆ </t>
  </si>
  <si>
    <t>ลูกหนี้ค่าน้ำประปา</t>
  </si>
  <si>
    <t>แหล่งเงิน</t>
  </si>
  <si>
    <t>แผนงาน</t>
  </si>
  <si>
    <t>งาน</t>
  </si>
  <si>
    <t>หมวด</t>
  </si>
  <si>
    <t>ประเภท</t>
  </si>
  <si>
    <t>โครงการ</t>
  </si>
  <si>
    <t>งบประมาณ</t>
  </si>
  <si>
    <t>บริหารงานทั่วไป</t>
  </si>
  <si>
    <t>บริหารงานคลัง</t>
  </si>
  <si>
    <t>สาธารณสุข</t>
  </si>
  <si>
    <t>บริหารทั่วไปเกี่ยว</t>
  </si>
  <si>
    <t>กับสาธารณสุข</t>
  </si>
  <si>
    <t>การศึกษา</t>
  </si>
  <si>
    <t>ค่าวัสดุ</t>
  </si>
  <si>
    <t>ที่ดินและสิ่งก่อสร้าง</t>
  </si>
  <si>
    <t>เงินมัดจำประกันสัญญา</t>
  </si>
  <si>
    <t xml:space="preserve">                    รับจริงสูงกว่าจ่ายจริง</t>
  </si>
  <si>
    <t xml:space="preserve">                    เงินทุนสำรองเงินสะสม 25%</t>
  </si>
  <si>
    <t>บวก   เพิ่มระหว่างปี</t>
  </si>
  <si>
    <t xml:space="preserve">                    รายจ่ายค้างจ่ายเหลือจ่าย</t>
  </si>
  <si>
    <t>หัก    ลดระหว่างปี</t>
  </si>
  <si>
    <t xml:space="preserve">                    จ่ายขาดเงินสะสม</t>
  </si>
  <si>
    <t xml:space="preserve">                   2. ลูกหนี้-ภาษีบำรุงท้องที่</t>
  </si>
  <si>
    <t>ลูกหนี้เงินสะสม</t>
  </si>
  <si>
    <t>เจ้าหนี้เงินสะสม</t>
  </si>
  <si>
    <t>หมายเหตุ  7  รายจ่ายค้างจ่าย</t>
  </si>
  <si>
    <t>หมายเหตุ   8  เงินรับฝาก</t>
  </si>
  <si>
    <t>หมายเหตุ  9  เงินสะสม</t>
  </si>
  <si>
    <t>ประมาณการ</t>
  </si>
  <si>
    <t>งบกลาง</t>
  </si>
  <si>
    <t>รายจ่าย</t>
  </si>
  <si>
    <t>รายจ่ายอื่น</t>
  </si>
  <si>
    <t>รายรับ</t>
  </si>
  <si>
    <t>ลูกหนี้ค่าธรรมเนียมการเก็บ</t>
  </si>
  <si>
    <t xml:space="preserve">            ขนขยะมูลฝอย</t>
  </si>
  <si>
    <t>และจะเบิกจ่ายในปีงบประมาณต่อไป ตามรายละเอียดแนบท้าย หมายเหตุ 9</t>
  </si>
  <si>
    <t>งบรายรับ - รายจ่าย</t>
  </si>
  <si>
    <t>รับจริง</t>
  </si>
  <si>
    <t>+</t>
  </si>
  <si>
    <t>สูง/ต่ำ</t>
  </si>
  <si>
    <t>-</t>
  </si>
  <si>
    <t>ก.รายได้ภาษีอากร</t>
  </si>
  <si>
    <t>1.หมวดภาษีอากร</t>
  </si>
  <si>
    <t xml:space="preserve">1.1 ภาษีบำรุงท้องที่  </t>
  </si>
  <si>
    <t xml:space="preserve"> +</t>
  </si>
  <si>
    <t>1.2 ภาษีโรงเรือนและที่ดิน</t>
  </si>
  <si>
    <t xml:space="preserve"> -</t>
  </si>
  <si>
    <t>1.3 ภาษีป้าย</t>
  </si>
  <si>
    <t>1.10 ค่าภาคหลวงแร่</t>
  </si>
  <si>
    <t>1.11 ค่าภาคหลวงปิโตรเลี่ยม</t>
  </si>
  <si>
    <t>ข.รายได้ที่มิใช่ภาษีอากร</t>
  </si>
  <si>
    <t>1. หมวดค่าธรรมเนียม ค่าปรับและใบอนุญาต</t>
  </si>
  <si>
    <t>2.หมวดรายได้จากทรัพย์สิน</t>
  </si>
  <si>
    <t xml:space="preserve">2.1 ดอกเบี้ยเงินฝากธนาคาร </t>
  </si>
  <si>
    <t>3.หมวดรายได้จากสาธารณูปโภคและการพาณิชย์</t>
  </si>
  <si>
    <t>4. หมวดรายได้เบ็ดเตล็ด</t>
  </si>
  <si>
    <t>4.1 ค่าขายแบบแปลน</t>
  </si>
  <si>
    <t>ค.เงินช่วยเหลือ</t>
  </si>
  <si>
    <t>1. หมวดเงินอุดหนุน</t>
  </si>
  <si>
    <t>1.2 เงินอุดหนุนทั่วไประบุวัตถุประสงค์</t>
  </si>
  <si>
    <t>รวมรายรับทั้งสิ้น</t>
  </si>
  <si>
    <t>ก.รายจ่ายประจำ</t>
  </si>
  <si>
    <t>จ่ายจริง</t>
  </si>
  <si>
    <t>1. รายจ่ายงบกลาง</t>
  </si>
  <si>
    <t>รวมรายจ่ายงบกลาง</t>
  </si>
  <si>
    <t>2.หมวดเงินเดือน(ฝ่ายการเมือง)</t>
  </si>
  <si>
    <t>รวมหมวดเงินเดือน (ฝ่ายการเมือง)</t>
  </si>
  <si>
    <t>3.หมวดเงินเดือน(ฝ่ายประจำ)</t>
  </si>
  <si>
    <t>รวมหมวดเงินเดือน (ฝ่ายประจำ)</t>
  </si>
  <si>
    <t>4. หมวดค่าตอบแทน ใช้สอยและวัสดุ</t>
  </si>
  <si>
    <t>4.1 ค่าตอบแทน</t>
  </si>
  <si>
    <t xml:space="preserve"> - ค่าตอบแทนผู้ปฏิบัติราชการอันเป็นประโยชน์ต่อองค์กรปกครองส่วนท้องถิ่น</t>
  </si>
  <si>
    <t xml:space="preserve"> - ค่าตอบแทนการปฏิบัติงานนอกเวลา</t>
  </si>
  <si>
    <t xml:space="preserve"> - ค่าเช่าบ้าน</t>
  </si>
  <si>
    <t xml:space="preserve"> - เงินช่วยเหลือการศึกษาบุตร</t>
  </si>
  <si>
    <t>รวมหมวดค่าตอบแทน</t>
  </si>
  <si>
    <t>4.2 ค่าใช้สอย</t>
  </si>
  <si>
    <t xml:space="preserve"> - รายจ่ายเพื่อให้ได้มาซึ่งบริการ</t>
  </si>
  <si>
    <t xml:space="preserve"> - รายจ่ายเกี่ยวกับการรับรองและพิธีการ</t>
  </si>
  <si>
    <t xml:space="preserve"> - รายจ่ายเกี่ยวเนื่องกับการปฏิบัติราชการที่ไม้เข้าลักษณะรายจ่ายหมวดอื่นๆ</t>
  </si>
  <si>
    <t>รวมหมวดค่าใช้สอย</t>
  </si>
  <si>
    <t>4.3 หมวดค่าวัสดุ</t>
  </si>
  <si>
    <t xml:space="preserve"> - ประเภทค่าวัสดุสำนักงาน</t>
  </si>
  <si>
    <t xml:space="preserve"> - ประเภทค่าวัสดุงานบ้านงานครัว</t>
  </si>
  <si>
    <t xml:space="preserve"> - ประเภทค่าวัสดุคอมพิวเตอร์</t>
  </si>
  <si>
    <t xml:space="preserve"> - ประเภทค่าวัสดุโฆษณาและเผยแพร่</t>
  </si>
  <si>
    <t xml:space="preserve"> - ประเภทวัสดุเชื้อเพลิง และหล่อลื่น</t>
  </si>
  <si>
    <t xml:space="preserve"> - ประเภทวัสดุเครื่องดับเพลิง</t>
  </si>
  <si>
    <t xml:space="preserve"> - ประเภทจัดซื้ออาหารเสริม(นม)</t>
  </si>
  <si>
    <t xml:space="preserve"> - ประเภทวัสดุยานพาหนะและขนส่ง</t>
  </si>
  <si>
    <t xml:space="preserve"> - ประเภทวัสดุไฟฟ้าและวิทยุ</t>
  </si>
  <si>
    <t xml:space="preserve"> - ประเภทวัสดุก่อสร้าง</t>
  </si>
  <si>
    <t xml:space="preserve"> - ประเภทค่าวัสดุวิทยาศาสตร์และการแพทย์</t>
  </si>
  <si>
    <t>รวมหมวดค่าวัสดุ</t>
  </si>
  <si>
    <t>5. หมวดค่าสาธารณูปโภค</t>
  </si>
  <si>
    <t xml:space="preserve"> - ประเภทค่าไฟฟ้า</t>
  </si>
  <si>
    <t xml:space="preserve"> - ประเภทค่าโทรศัพท์</t>
  </si>
  <si>
    <t xml:space="preserve"> - ประเภทค่าไปรษณีย์ ค่าโทรเลข ค่าธนาณัติ</t>
  </si>
  <si>
    <t xml:space="preserve"> - ประเภทค่าบริการสื่อสารและโทรคมนาคม</t>
  </si>
  <si>
    <t>รวมหมวดค่าสาธารณูปโภค</t>
  </si>
  <si>
    <t>6. หมวดเงินอุดหนุน</t>
  </si>
  <si>
    <t>รวมหมวดเงินอุดหนุน</t>
  </si>
  <si>
    <t>7. หมวดรายจ่ายอื่น</t>
  </si>
  <si>
    <t xml:space="preserve"> รวมหมวดรายจ่ายอื่น</t>
  </si>
  <si>
    <t>2. รายจ่ายเพื่อการลงทุน</t>
  </si>
  <si>
    <t>2.1 หมวดค่าครุภัณฑ์ที่ดินและสิ่งก่อสร้าง</t>
  </si>
  <si>
    <t xml:space="preserve"> - ค่าครุภัณฑ์สำนักงาน</t>
  </si>
  <si>
    <t>รวมหมวดค่าครุภัณฑ์</t>
  </si>
  <si>
    <t xml:space="preserve"> - ค่าที่ดินและสิ่งก่อสร้าง </t>
  </si>
  <si>
    <t>รวมหมวดค่าที่ดินและสิ่งก่อสร้าง</t>
  </si>
  <si>
    <t>รวมรายจ่ายทั้งสิ้น</t>
  </si>
  <si>
    <t>รับจริงสูงกว่าจ่ายจริง</t>
  </si>
  <si>
    <t>เดบิท</t>
  </si>
  <si>
    <t>เครดิต</t>
  </si>
  <si>
    <t>ชื่อบัญชี</t>
  </si>
  <si>
    <t>รหัสบัญชี</t>
  </si>
  <si>
    <t>110201</t>
  </si>
  <si>
    <t>110203</t>
  </si>
  <si>
    <t>110602</t>
  </si>
  <si>
    <t>งบทดลอง  (หลังปิดบัญชี)</t>
  </si>
  <si>
    <t>เงินสด</t>
  </si>
  <si>
    <t>021</t>
  </si>
  <si>
    <t xml:space="preserve">เงินรับฝาก           </t>
  </si>
  <si>
    <t xml:space="preserve">รายจ่ายค้างจ่าย   </t>
  </si>
  <si>
    <t>5.อาคารโรงครัว</t>
  </si>
  <si>
    <t>9. ศาลพระภูมิ</t>
  </si>
  <si>
    <t>ธ.ค.</t>
  </si>
  <si>
    <t>ม.ค.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</si>
  <si>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</si>
  <si>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</si>
  <si>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</si>
  <si>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</si>
  <si>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</si>
  <si>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</si>
  <si>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</si>
  <si>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รวมรายได้ที่รัฐบาลจัดสรรให้</t>
  </si>
  <si>
    <t xml:space="preserve">   เงินฝากธนาคาร ธ.ก.ส. กระแสรายวัน เลขที่ 01112-5-00050-7</t>
  </si>
  <si>
    <t xml:space="preserve">   เงินฝากธนาคาร ธ.ก.ส.ออมทรัพย์ เลขที่ 01112-2-54362-0</t>
  </si>
  <si>
    <t xml:space="preserve">   เงินฝากธนาคาร ธ.ก.ส.ออมทรัพย์ เลขที่ 01112-2-69027-8</t>
  </si>
  <si>
    <t xml:space="preserve">   เงินฝากธนาคารกรุงไทย กระแสรายวัน เลขที่ 318-6-01052-7</t>
  </si>
  <si>
    <t xml:space="preserve">  เงินฝากธนาคารกรุงไทย กระแสรายวัน เลขที่ 318-6-01257-0</t>
  </si>
  <si>
    <t xml:space="preserve">   เงินฝากธนาคารกรุงไทย กระแสรายวัน เลขที่ 981-3-46601-4</t>
  </si>
  <si>
    <t xml:space="preserve">   เงินฝากธนาคารกรุงไทย ออมทรัพย์ เลขที่ 318-1-55840-0</t>
  </si>
  <si>
    <t xml:space="preserve">   เงินฝากธนาคารกรุงไทย ออมทรัพย์ เลขที่ 318-0-27020-9</t>
  </si>
  <si>
    <t xml:space="preserve">   เงินฝากธนาคารกรุงไทย ออมทรัพย์ เลขที่ 981-4-52961-3</t>
  </si>
  <si>
    <t xml:space="preserve">   เงินฝากธนาคารออมสิน ออมทรัพย์ 051110336529</t>
  </si>
  <si>
    <t>เงินฝากธนาคารกรุงไทย ออมทรัพย์ เลขที่ 318-1-55840-0</t>
  </si>
  <si>
    <t>เงินฝากธนาคารกรุงไทย ออมทรัพย์ เลขที่ 318-0-27020-9</t>
  </si>
  <si>
    <t>เงินฝากธนาคารกรุงไทย ออมทรัพย์ เลขที่ 981-4-52961-3</t>
  </si>
  <si>
    <t>เงินฝากธนาคารกรุงไทย กระแสรายวัน เลขที่ 318-6-01052-7</t>
  </si>
  <si>
    <t>เงินฝากธนาคารกรุงไทย กระแสรายวัน เลขที่ 318-6-01257-0</t>
  </si>
  <si>
    <t>เงินฝากธนาคารกรุงไทย กระแสรายวัน เลขที่ 981-3-46601-4</t>
  </si>
  <si>
    <t>เงินฝากธนาคารออมสิน ออมทรัพย์ 051110336529</t>
  </si>
  <si>
    <t>เงินฝากธนาคาร ธ.ก.ส.ออมทรัพย์ เลขที่ 01112-2-54362-0</t>
  </si>
  <si>
    <t>เงินฝากธนาคาร ธ.ก.ส.ออมทรัพย์ เลขที่ 01112-2-69027-8</t>
  </si>
  <si>
    <t>เงินฝากธนาคาร ธ.ก.ส. กระแสรายวัน เลขที่ 01112-5-00050-7</t>
  </si>
  <si>
    <t>องค์การบริหารส่วนตำบลบ้านกอก  อำเภอจัตุรัส  จังหวัดชัยภูมิ</t>
  </si>
  <si>
    <t>ค่าใช้จ่ายในการจัดเก็บภาษีบำรุงท้องที่ 6%</t>
  </si>
  <si>
    <t>ค่าใช้จ่ายในการจัดเก็บภาษีบำรุงท้องที่ 5%</t>
  </si>
  <si>
    <t>เงินทุนโครงการเศรษฐกิจชุมชน</t>
  </si>
  <si>
    <t>องค์การบริหารส่วนตำบลบ้านกอก อำเภอจัตุรัส จังหวัดชัยภูมิ</t>
  </si>
  <si>
    <t>กับการศึกษาฯ</t>
  </si>
  <si>
    <t>อุตสาหกรรมและ</t>
  </si>
  <si>
    <t>การโยธา</t>
  </si>
  <si>
    <t>ก่อสร้างโครงสร้าง</t>
  </si>
  <si>
    <t>พื้นฐาน</t>
  </si>
  <si>
    <t>เงินอุดหนุน</t>
  </si>
  <si>
    <t>ค่าใช้สอย</t>
  </si>
  <si>
    <t xml:space="preserve">                   </t>
  </si>
  <si>
    <t>ลูกหนี้-เงินทุนโครงการเศรษฐกิจชุมชน</t>
  </si>
  <si>
    <t xml:space="preserve"> - ค่าที่ดินและสิ่งก่อสร้าง (เงินอุดหนุนเฉพาะกิจ)</t>
  </si>
  <si>
    <t xml:space="preserve">3.1 รายได้จากน้ำประปา  </t>
  </si>
  <si>
    <t xml:space="preserve">4.2 รายได้เบ็ดเตล็ดอื่น ๆ  </t>
  </si>
  <si>
    <t>5. หมวดรายได้จากทุน</t>
  </si>
  <si>
    <t>5.1 ค่าขายทอดตลาดจากทรัพย์สิน</t>
  </si>
  <si>
    <t xml:space="preserve"> - ค่าเบี้ยประชุม</t>
  </si>
  <si>
    <t xml:space="preserve">   โครงการสนับสนุนค่าใช้จ่ายการบริหารสถานศึกษา (อาหารกลางวัน)</t>
  </si>
  <si>
    <t xml:space="preserve">   ค่าใช้จ่ายในการพัฒนาครูผู้ดูแลเด็ก ผู้ดูแลเด็กของศูนย์พัฒนาเด็กเล็ก</t>
  </si>
  <si>
    <t>ค่ารับรองในการต้อนรับคณะบุคคลฯ</t>
  </si>
  <si>
    <t>ค่าเลี้ยงรับรองในการประชุมสภาท้องถิ่นหรือคณะกรรมการหรือคณะอนุกรรมการ</t>
  </si>
  <si>
    <t>ค่าใช้จ่ายในการจัดกิจกรรมวันสำคัญทางราชการ</t>
  </si>
  <si>
    <t>ค่าใช้จ่ายในการจัดทำแผนพัฒนา อบต.ฯ</t>
  </si>
  <si>
    <t>โครงการฝึกอบรมเพื่อเพิ่มประสิทธิภาพและศึกษาดูงานของคณะผู้บริหารสมาชิกสภาฯ</t>
  </si>
  <si>
    <t>โครงการจัดซื้อน้ำยาเคมีดับเพลิง</t>
  </si>
  <si>
    <t>โครงการจัดตั้งศูนย์รายงานสถานการจราจรและอยู่เวรยามช่วงเทศกาล</t>
  </si>
  <si>
    <t>ค่าใชจ่ายในกิจกรรม อาสาสมัครป้องกันภัยฝ่ายพลเรือน (อปพร.)</t>
  </si>
  <si>
    <t>ค่าใช้จ่ายในการป้องกันและแก้ไขปัญหายาเสพติดการจัดระเบียบสังคม</t>
  </si>
  <si>
    <t>ค่าใช้จ่ายในการฝึกอบรมและฝึกทบทวน อปพร.</t>
  </si>
  <si>
    <t>ค่าใช้จ่ายเนื่องในวันเด็กแห่งชาติ</t>
  </si>
  <si>
    <t>โครงการฝึกอบรมคุณธรรม จริยธรรม ให้กับเด็ก เยาวชนฯ</t>
  </si>
  <si>
    <t>โครงการเสริมสร้างครอบครัวคุณธรรมและจริยธรรม</t>
  </si>
  <si>
    <t>ค่าใช้จ่ายในการจัดกิจกรรมวันสำคัญทางศาสนาและวันอื่นๆ</t>
  </si>
  <si>
    <t>โครงการจัดงานประเพณีบุญบั้งไฟล้าน</t>
  </si>
  <si>
    <t>โครงการจัดงานประเพณีสงกรานต์</t>
  </si>
  <si>
    <t xml:space="preserve">โครงการจัดงานประเพณีลอยกระทง </t>
  </si>
  <si>
    <t>โครงการส่งเสริมการจัดระบบการกำจัดขยะในครัวเรือนและสร้างพลังชุมชน</t>
  </si>
  <si>
    <t>โครงการรณรงค์และป้องกันไข้เลือดออก</t>
  </si>
  <si>
    <t>โครงการรณรงค์ในการป้องกันและแก้ไขปัญหาโรคเอดส์</t>
  </si>
  <si>
    <t>โครงการรณรงค์และป้องกันโรคพิษสุนัขบ้า</t>
  </si>
  <si>
    <t>โครงการจัดงานวันผู้สูงอายุแห่งชาติ</t>
  </si>
  <si>
    <t>โครงการฝึกอบรมส่งเสริมการพัฒนาอาชีพและพัฒนาผลิตภัณฑ์ชุมชน</t>
  </si>
  <si>
    <t>โครงการตามพระราชดำริพระบาทสมเด็จพระเจ้าอยู่หัวฯ</t>
  </si>
  <si>
    <t xml:space="preserve"> - ประเภทค่าวัสดุกีฬา</t>
  </si>
  <si>
    <t xml:space="preserve"> - ประเภทวัสดุการเกษตร</t>
  </si>
  <si>
    <t xml:space="preserve"> - อุดหนุนส่วนราชการเพื่ออุดหนุนองค์การบริหารส่วนตำบลบ้านขาม</t>
  </si>
  <si>
    <t xml:space="preserve"> - อุดหนุนโรงเรียนบ้านมะเกลือโนนทอง</t>
  </si>
  <si>
    <t xml:space="preserve"> - อุดหนุนโรงเรียนบ้านสำโรงทุ่ง</t>
  </si>
  <si>
    <t xml:space="preserve"> - อุดหนุนโรงเรียนบ้านหลุบงิ้ว</t>
  </si>
  <si>
    <t xml:space="preserve"> - อุดหนุนโรงเรียนบ้านสระสี่เหลี่ยม</t>
  </si>
  <si>
    <t xml:space="preserve"> - อุดหนุนโรงเรียนบ้านทุ่งสว่าง</t>
  </si>
  <si>
    <t xml:space="preserve"> - อุดหนุนกลุ่มองค์กรสตรีตำบลบ้านกอก</t>
  </si>
  <si>
    <t>1.3 เงินอุดหนุนเฉพาะกิจ</t>
  </si>
  <si>
    <t>ลูกหนี้เงินทุนโครงงการเศรษฐกิจชุมชน</t>
  </si>
  <si>
    <t>เงินอุดหนุนเฉพาะกิจ</t>
  </si>
  <si>
    <t>องค์การบริหารส่วนตำบลบ้านกอก อำเภอจัตุรัส  จังหวัดชัยภูมิ</t>
  </si>
  <si>
    <t xml:space="preserve">     14.ครุภัณฑ์สาธารณสุข</t>
  </si>
  <si>
    <t>เงินบริจาค</t>
  </si>
  <si>
    <t xml:space="preserve">    16. ครุภัณฑ์อื่น</t>
  </si>
  <si>
    <t>3.1 เงินเดือนพนักงานส่วนตำบล</t>
  </si>
  <si>
    <t xml:space="preserve">                                        ................................................ผู้อำนวยการกองคลังองค์การบริหารส่วนตำบลบ้านกอก</t>
  </si>
  <si>
    <t>รวมรายได้ที่อบต.จัดเก็บเอง</t>
  </si>
  <si>
    <t xml:space="preserve"> - อุดหนุนโครงการพัฒนาสาธารณสุขมูลฐานในเขตอบต.บ้านกอก (17 หมู่บ้าน)</t>
  </si>
  <si>
    <t xml:space="preserve"> 1.ที่ดิน</t>
  </si>
  <si>
    <t xml:space="preserve"> 3.อาคารเอนกประสงค์</t>
  </si>
  <si>
    <t>12.โรงเก็บพัสดุ</t>
  </si>
  <si>
    <t>4.อาคารห้องประชุม</t>
  </si>
  <si>
    <t>6. อาคารอเนกประสงค์ (โรงจอดรถ)</t>
  </si>
  <si>
    <t>7. เสาธง</t>
  </si>
  <si>
    <t xml:space="preserve">  ประจำปีงบประมาณ พ.ศ.2560</t>
  </si>
  <si>
    <t>1.4 ภาษี และค่าธรรมเนียมรถยนต์หรือล้อเลื่อน</t>
  </si>
  <si>
    <t>1.1 ค่าธรรมเนียมเกี่ยวกับใบอนุญาตการพนัน</t>
  </si>
  <si>
    <t>1.2 ค่าธรรมเนียมเกี่ยวกับการควบคุมอาคาร</t>
  </si>
  <si>
    <t>1.3 ค่าธรรมเนียมจดทะเบียนพาณิชย์</t>
  </si>
  <si>
    <t>1.4 ค่าธรรมเนียมกำจัดขยะมูลฝอย</t>
  </si>
  <si>
    <t>1.5 ค่าธรรมเนียมอื่น ๆ</t>
  </si>
  <si>
    <t>1.6 ค่าปรับผู้กระทำผิดความผิดตาม พ.ร.บ. จราจรฯ</t>
  </si>
  <si>
    <t xml:space="preserve">1.7 ค่าปรับการผิดสัญญา  </t>
  </si>
  <si>
    <t>1.8 ค่าธรรมเนียมใบอนุญาตทำการเก็บ ขน หรือกำจัดสิ่งปฏิกูลมูลฝอย</t>
  </si>
  <si>
    <t>1.9 ค่าธรรมเนียมประกอบกิจการที่เป็นอันตรายต่อสุขภาพ</t>
  </si>
  <si>
    <t>1.10 ค่าใบอนุญาติเกี่ยวกับการควบคุมอาคาร</t>
  </si>
  <si>
    <t>1.11 ภาษีสรรพสามิตจังหวัดชัยภูมิ</t>
  </si>
  <si>
    <t>1.5 ภาษีมูลค่าเพิ่มตาม พ.ร.บ. กำหนดแผนฯ</t>
  </si>
  <si>
    <t>1.6 ภาษีมูลค่าเพิ่มตาม พ.ร.บ.จัดสรรรายได้ฯ (1 ใน 9)</t>
  </si>
  <si>
    <t>1.7 ภาษีธุรกิจเฉพาะ</t>
  </si>
  <si>
    <t>1.8 ภาษีสุรา</t>
  </si>
  <si>
    <t>1.9 ภาษีสรรพสามิต</t>
  </si>
  <si>
    <t>1.12 ค่าธรรมเนียมจดทะเบียนสิทธิและนิติกรรมที่ดิน</t>
  </si>
  <si>
    <t>1.1 เงินกองทุนประกันสังคม</t>
  </si>
  <si>
    <t>1.2 เบี้ยยังชีพผู้สูงอายุ</t>
  </si>
  <si>
    <t>1.3 เบี้ยยังชีพผู้พิการ</t>
  </si>
  <si>
    <t>1.4 เบี้ยยังชีพผู้ป่วยเอดส์</t>
  </si>
  <si>
    <t>1.5 เงินสำรองจ่าย</t>
  </si>
  <si>
    <t>1.6 รายจ่ายตามข้อผูกพัน</t>
  </si>
  <si>
    <t>1.7 เงินช่วยเหลือเงินกองทุนบำเหน็จบำนาญของข้าราชการส่วนท้องถิ่น (กบท.)</t>
  </si>
  <si>
    <t>2.1 เงินเดือน /รองนายก</t>
  </si>
  <si>
    <t>2.2 เงินค่าตอบแทนประจำตำแหน่งนายก/รองนายก</t>
  </si>
  <si>
    <t>2.3 เงินค่าตอบแทนพิเศษนายก/รองนายก</t>
  </si>
  <si>
    <t xml:space="preserve">2.4 เงินเดือน/ค่าตอบแทนเลขานุการนายกฯ </t>
  </si>
  <si>
    <t>2.5 เงินค่าตอบแทนสมาชิก สภา อปท.</t>
  </si>
  <si>
    <t>3.2 เงินเพิ่มต่างๆ ของพนักงาน (ค่าตอบแทนพิเศษปลัด)</t>
  </si>
  <si>
    <t>3.3 เงินประจำตำแหน่ง</t>
  </si>
  <si>
    <t>3.5 เงินเพิ่มค่าครองชีพชั่วคราวของพนักงานจ้างตามภารกิจ</t>
  </si>
  <si>
    <t>3.4 ค่าตอบแทนพนักงานจ้าง</t>
  </si>
  <si>
    <t>โครงการรณรงค์ปฏิบัติตามกฏจราจร ป้องกันและลดอุบัติเหตุทางถนนฯ</t>
  </si>
  <si>
    <t>ค่าใช้จายในการนินการป้องกันไฟป่าอละดับไฟป่าในพื้นที่ ฯ</t>
  </si>
  <si>
    <t>โครงการอบรมส่งเสริมการเรียนรู้ตามหลักปรัชญาเศรษฐกิจพอเพียง</t>
  </si>
  <si>
    <t>โครงการส่งเสริมและสนับสนุนกระบวนการจัดทำ ทบทวน ปรับปรุงคุณภาพฯ</t>
  </si>
  <si>
    <t xml:space="preserve">โครงการแข่งขันกีฬาต้านยาเสพติด </t>
  </si>
  <si>
    <t>โครงการอบรมส่งเสริมอาชีพไร่นาสวนผสมตามแนวพระราชดำริ</t>
  </si>
  <si>
    <t>โครงการกำจัดวัชพืชในแหล่งน้ำและปรับปรุงภูมิทัศน์แหล่งน้ำ</t>
  </si>
  <si>
    <t xml:space="preserve"> คชจ.ในการเดินทางไปราชการ</t>
  </si>
  <si>
    <t xml:space="preserve"> คชจ.ในการออกเอกสารสิทธิที่ดิน โอนที่ดิน</t>
  </si>
  <si>
    <t xml:space="preserve"> คชจ.อื่น ๆ ที่เกี่ยวข้อง</t>
  </si>
  <si>
    <t xml:space="preserve"> ค่าบำรุงรักษาและซ่อมแซม</t>
  </si>
  <si>
    <t xml:space="preserve"> ค่าของขวัญของรางวัลหรือเงินรางวัลในงานกิจกรรมต่าง ๆ</t>
  </si>
  <si>
    <t xml:space="preserve"> คชจ.โครงการการจัดทำแผนที่ภาษีและทะเบียนทรัพย์สิน</t>
  </si>
  <si>
    <t xml:space="preserve">   โครงการสนับสนุนค่าใช้จ่ายการบริหารสถานศึกษา (รายหัว)</t>
  </si>
  <si>
    <t xml:space="preserve"> - ประเภทวัสดุสนาม</t>
  </si>
  <si>
    <t xml:space="preserve"> - ประเภทค่าน้ำประปา ค่าน้ำบาดาล</t>
  </si>
  <si>
    <t xml:space="preserve"> - คชจ.ในการประเมินความพึงพอใจของ อบต.บ้านกอก</t>
  </si>
  <si>
    <t xml:space="preserve"> - ค่าครุภัณฑ์การเกษตร</t>
  </si>
  <si>
    <t xml:space="preserve"> - ค่าครุภัณฑ์ยานพาหนะและขนส่ง</t>
  </si>
  <si>
    <t xml:space="preserve"> - ค่าครุภัณฑ์ไฟฟ้าแลวิทยุ</t>
  </si>
  <si>
    <t xml:space="preserve"> - ค่าก่อสร้างสาธารณูปโภค</t>
  </si>
  <si>
    <t>โครงการส่งเสริมการพัฒนาคุณภาพชีวิต ผู้พิการ ผู้สูงอายุและผู้ด้อยโอกาส</t>
  </si>
  <si>
    <t>110202</t>
  </si>
  <si>
    <t>110604</t>
  </si>
  <si>
    <t>สำหรับปี สิ้นสุดวันที่  ณ  วันที่   30  กันยายน  2560</t>
  </si>
  <si>
    <t>10. ห้องน้ำ</t>
  </si>
  <si>
    <t>13.ประปาบาดาล</t>
  </si>
  <si>
    <t xml:space="preserve">14.ศูนย์พัฒนาเด็กเล็ก </t>
  </si>
  <si>
    <t>15.รั้วศูนย์พัฒนาเด็กเล็ก</t>
  </si>
  <si>
    <t xml:space="preserve">องค์การบริหารส่วนตำบลบ้านกอก  อำเภอจัตรัส  จังหวัดชัยภูมิ  </t>
  </si>
  <si>
    <t xml:space="preserve"> 2.อาคารห้องประชุมเอนกประสงค์เฉลิมพระเกียรติ</t>
  </si>
  <si>
    <t>8. เสาธงศูนย์พัฒนาเด็กเล็กบ้านทุ่งสว่างวัฒนา</t>
  </si>
  <si>
    <t>11. ห้องน้ำศูนย์พัฒนาเด็กเล็กบ้านทุ่งสว่างวัฒนา</t>
  </si>
  <si>
    <t xml:space="preserve">     12.ครุภัณฑ์การโยธา</t>
  </si>
  <si>
    <t xml:space="preserve">    15. ครุภัณฑ์เต๊นท์</t>
  </si>
  <si>
    <t>หมายเหตุ 6 ลูกหนี้อื่น ๆ</t>
  </si>
  <si>
    <t>รายจ่ายเพื่อให้ได้มาซึ่งบริการ</t>
  </si>
  <si>
    <t>ค่าใช้จ่ายในการประเมินความพึงพอใจ ของ อบต.บ้านกอก</t>
  </si>
  <si>
    <t>ระดับก่อนวัยเรียน</t>
  </si>
  <si>
    <t>และประถมศึกษา</t>
  </si>
  <si>
    <t>ค่าวัสดุอาหารเสริมนม</t>
  </si>
  <si>
    <t>ก่อสร้างสิ่งสาธารณูปโภค</t>
  </si>
  <si>
    <t>โครงการปรับปรุงซ่อมแซมถนนรอบหมู่บ้าน ม.4</t>
  </si>
  <si>
    <t>เงินเดือน</t>
  </si>
  <si>
    <t>เงินเดือนครู ผดด.</t>
  </si>
  <si>
    <t>สปส.</t>
  </si>
  <si>
    <t>ตามข้อผูกพัน</t>
  </si>
  <si>
    <t>กบท.</t>
  </si>
  <si>
    <t>เบี้ยผู้สูงอายุ</t>
  </si>
  <si>
    <t>เบี้ยผู้พิการ</t>
  </si>
  <si>
    <t>เบี้ยเอดส์</t>
  </si>
  <si>
    <t>สำรองจ่าย</t>
  </si>
  <si>
    <t>ต.ค.</t>
  </si>
  <si>
    <t>พ.ย.</t>
  </si>
  <si>
    <t>ก.พ.</t>
  </si>
  <si>
    <t>ค่าใช้จ่ายตามโครงการอบรมพัฒนาความรู้ทักษะในการพัฒนาท้องถิ่นด้วยการมีส่วนร่วม</t>
  </si>
  <si>
    <t>ภาษีหัก ณ ที่จ่าย</t>
  </si>
  <si>
    <t xml:space="preserve"> ณ   วันที่   30   กันยายน   2560</t>
  </si>
  <si>
    <t>เงินฝากธนาคาร ธ.ก.ส.เงินฝากประจำระยะสั้น เลขที่ 310001595688</t>
  </si>
  <si>
    <t>ลูกหนี้อื่น ๆ (นายจรัล    ชาลีวรรณ)</t>
  </si>
  <si>
    <t xml:space="preserve"> ณ  วันที่   30  กันยายน  2560</t>
  </si>
  <si>
    <t xml:space="preserve"> สำหรับปีสิ้นสุด วันที่   30  กันยายน  2560</t>
  </si>
  <si>
    <t xml:space="preserve">   เงินฝากธนาคาร ธ.ก.ส.เงินฝากประจำระยะสั้น เลขที่ 310001595688</t>
  </si>
  <si>
    <t>เงินสะสมยกมา  1  ตุลาคม 2559</t>
  </si>
  <si>
    <t xml:space="preserve">                   รับคืนเงินจัดสรรเงินเดือน/ค่าตอบแทน ผดด. /ค่าสวัสดิการ </t>
  </si>
  <si>
    <t xml:space="preserve">                    รับเงินคืนเบี้ยยังชีพผู้สูงอายุและผู้พิการ ปี 2559</t>
  </si>
  <si>
    <t xml:space="preserve">                    รับเงินคืนตอบแทนวิทยากรฝึก อบรม อปพร.ปี 2559</t>
  </si>
  <si>
    <t xml:space="preserve">                    รับเงินเพิ่มภาษีปีก่อน</t>
  </si>
  <si>
    <t xml:space="preserve">                    รับเงินประกันสัญญา (เนื่องจากผู้รับจ้างไม่มารับเช็ค)</t>
  </si>
  <si>
    <t xml:space="preserve">                   ลูกหนี้อื่น ๆ (นายจรัล   ชาลีวรรณ)</t>
  </si>
  <si>
    <t xml:space="preserve">                    เงินสะสม 30 กันยายน 2560</t>
  </si>
  <si>
    <t>4,373,800.00</t>
  </si>
  <si>
    <t>เงินสะสม   30   กันยายน   2560  ประกอบด้วย</t>
  </si>
  <si>
    <t xml:space="preserve">                   1. ลูกหนี้-เงินสะสม</t>
  </si>
  <si>
    <t xml:space="preserve">                   3. ลูกหนี้อื่น ๆ (นายจรัล   ชาลีวรรณ)</t>
  </si>
  <si>
    <t xml:space="preserve">                   4.เงินสะสมที่สามารถนำไปใช้ได้</t>
  </si>
  <si>
    <t>ทั้งนี้ในปีงบประมาณ 2560  ได้รับอนุมัติให้จ่ายเงินสะสมที่อยู่ระหว่างดำเนินการจำนวน  340,000.- บาท</t>
  </si>
  <si>
    <t>เงินอุดหนุนทั่วไประบุวัตถุประสงค์ -เบี้ยยังชีพผู้พิการ (ปี 2559)</t>
  </si>
  <si>
    <t>1.1 เงินอุดหนุนทั่วไป</t>
  </si>
  <si>
    <t>เงินรอคืนจังหวัด (เงินตกเบิกครู ผดด.และเงินสวัสดิการต่างๆ)</t>
  </si>
  <si>
    <t>หมายเหตุ   8  เงินอุดหนุนทั่วไป - รอคืนจังหวัด</t>
  </si>
  <si>
    <t>เงินอุดหนุนทั่วไป- รอคืนจังหวัด</t>
  </si>
  <si>
    <t>เงินอุดหนุนทั่วไป - รอคืนจังหวัด</t>
  </si>
  <si>
    <t xml:space="preserve">          หมายเหตุประกอบงบการเงินเป็นส่วนหนึ่งของงบการเงินนี้</t>
  </si>
  <si>
    <t xml:space="preserve">   นายจรัล  ชาลีวรรณ</t>
  </si>
  <si>
    <t xml:space="preserve"> -เงินชดใช้ค่าเสียหายในการเลือกตั้ง ของ</t>
  </si>
  <si>
    <t>(ตกเบิก) ปี 2558</t>
  </si>
  <si>
    <t>เงินรอคืนจังหวัด (โครงการป้องกันและแก้ไขปัญหายาเสพติด)</t>
  </si>
  <si>
    <t xml:space="preserve">                                        ................................................นักวิชาการเงินและบัญชีชำนาญการ</t>
  </si>
  <si>
    <t xml:space="preserve">                                        ................................................ปลัดองค์การบริหารส่วนตำบลบ้านกอก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</si>
</sst>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_-* #,##0.000_-;\-* #,##0.000_-;_-* &quot;-&quot;??_-;_-@_-"/>
    <numFmt numFmtId="194" formatCode="_-* #,##0.0000_-;\-* #,##0.0000_-;_-* &quot;-&quot;??_-;_-@_-"/>
    <numFmt numFmtId="195" formatCode="_(* #,##0.00_);_(* \(#,##0.00\);_(* &quot;-&quot;??_);_(@_)"/>
  </numFmts>
  <fonts count="7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Angsana New"/>
      <family val="1"/>
    </font>
    <font>
      <sz val="10"/>
      <name val="Arial"/>
      <family val="2"/>
    </font>
    <font>
      <b/>
      <sz val="14"/>
      <name val="TH Niramit AS"/>
      <family val="0"/>
    </font>
    <font>
      <sz val="14"/>
      <name val="TH Niramit AS"/>
      <family val="0"/>
    </font>
    <font>
      <sz val="12"/>
      <name val="TH Niramit AS"/>
      <family val="0"/>
    </font>
    <font>
      <b/>
      <sz val="16"/>
      <name val="TH Niramit AS"/>
      <family val="0"/>
    </font>
    <font>
      <sz val="16"/>
      <name val="TH Niramit AS"/>
      <family val="0"/>
    </font>
    <font>
      <b/>
      <u val="single"/>
      <sz val="14"/>
      <name val="TH Niramit AS"/>
      <family val="0"/>
    </font>
    <font>
      <u val="singleAccounting"/>
      <sz val="14"/>
      <name val="TH Niramit AS"/>
      <family val="0"/>
    </font>
    <font>
      <b/>
      <sz val="12.3"/>
      <name val="TH Niramit AS"/>
      <family val="0"/>
    </font>
    <font>
      <sz val="12.3"/>
      <name val="TH Niramit AS"/>
      <family val="0"/>
    </font>
    <font>
      <sz val="11"/>
      <name val="TH Niramit AS"/>
      <family val="0"/>
    </font>
    <font>
      <b/>
      <sz val="15"/>
      <name val="TH Niramit AS"/>
      <family val="0"/>
    </font>
    <font>
      <sz val="15"/>
      <name val="TH Niramit AS"/>
      <family val="0"/>
    </font>
    <font>
      <sz val="16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1"/>
      <color indexed="63"/>
      <name val="Tahoma"/>
      <family val="2"/>
    </font>
    <font>
      <sz val="11"/>
      <color indexed="8"/>
      <name val="TH Niramit AS"/>
      <family val="0"/>
    </font>
    <font>
      <sz val="16"/>
      <color indexed="8"/>
      <name val="TH Niramit AS"/>
      <family val="0"/>
    </font>
    <font>
      <b/>
      <sz val="16"/>
      <color indexed="8"/>
      <name val="TH Niramit AS"/>
      <family val="0"/>
    </font>
    <font>
      <b/>
      <u val="single"/>
      <sz val="16"/>
      <color indexed="8"/>
      <name val="TH Niramit AS"/>
      <family val="0"/>
    </font>
    <font>
      <b/>
      <sz val="14"/>
      <color indexed="8"/>
      <name val="TH Niramit AS"/>
      <family val="0"/>
    </font>
    <font>
      <sz val="14"/>
      <color indexed="8"/>
      <name val="TH Niramit AS"/>
      <family val="0"/>
    </font>
    <font>
      <sz val="12.3"/>
      <color indexed="8"/>
      <name val="TH Niramit AS"/>
      <family val="0"/>
    </font>
    <font>
      <sz val="12.3"/>
      <color indexed="10"/>
      <name val="TH Niramit AS"/>
      <family val="0"/>
    </font>
    <font>
      <b/>
      <u val="single"/>
      <sz val="14"/>
      <color indexed="8"/>
      <name val="TH Niramit AS"/>
      <family val="0"/>
    </font>
    <font>
      <sz val="15"/>
      <color indexed="8"/>
      <name val="TH Niramit AS"/>
      <family val="0"/>
    </font>
    <font>
      <b/>
      <sz val="15"/>
      <color indexed="8"/>
      <name val="TH Niramit AS"/>
      <family val="0"/>
    </font>
    <font>
      <b/>
      <sz val="11"/>
      <color indexed="8"/>
      <name val="TH Niramit AS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1"/>
      <color rgb="FF3E3E3E"/>
      <name val="Calibri"/>
      <family val="2"/>
    </font>
    <font>
      <sz val="11"/>
      <color theme="1"/>
      <name val="TH Niramit AS"/>
      <family val="0"/>
    </font>
    <font>
      <sz val="16"/>
      <color theme="1"/>
      <name val="TH Niramit AS"/>
      <family val="0"/>
    </font>
    <font>
      <b/>
      <sz val="16"/>
      <color theme="1"/>
      <name val="TH Niramit AS"/>
      <family val="0"/>
    </font>
    <font>
      <b/>
      <u val="single"/>
      <sz val="16"/>
      <color theme="1"/>
      <name val="TH Niramit AS"/>
      <family val="0"/>
    </font>
    <font>
      <sz val="14"/>
      <color theme="1"/>
      <name val="TH Niramit AS"/>
      <family val="0"/>
    </font>
    <font>
      <sz val="12.3"/>
      <color theme="1"/>
      <name val="TH Niramit AS"/>
      <family val="0"/>
    </font>
    <font>
      <b/>
      <sz val="14"/>
      <color theme="1"/>
      <name val="TH Niramit AS"/>
      <family val="0"/>
    </font>
    <font>
      <sz val="12.3"/>
      <color rgb="FFFF0000"/>
      <name val="TH Niramit AS"/>
      <family val="0"/>
    </font>
    <font>
      <b/>
      <u val="single"/>
      <sz val="14"/>
      <color theme="1"/>
      <name val="TH Niramit AS"/>
      <family val="0"/>
    </font>
    <font>
      <sz val="15"/>
      <color theme="1"/>
      <name val="TH Niramit AS"/>
      <family val="0"/>
    </font>
    <font>
      <b/>
      <sz val="15"/>
      <color theme="1"/>
      <name val="TH Niramit AS"/>
      <family val="0"/>
    </font>
    <font>
      <b/>
      <sz val="11"/>
      <color theme="1"/>
      <name val="TH Niramit A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/>
    </border>
    <border>
      <left/>
      <right/>
      <top style="thin"/>
      <bottom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3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43" fontId="64" fillId="0" borderId="0" xfId="36" applyFont="1" applyAlignment="1">
      <alignment/>
    </xf>
    <xf numFmtId="0" fontId="0" fillId="0" borderId="0" xfId="0" applyAlignment="1">
      <alignment/>
    </xf>
    <xf numFmtId="0" fontId="66" fillId="0" borderId="0" xfId="0" applyFont="1" applyAlignment="1">
      <alignment horizontal="right" indent="1"/>
    </xf>
    <xf numFmtId="0" fontId="0" fillId="0" borderId="0" xfId="0" applyAlignment="1">
      <alignment horizontal="center" vertical="center" wrapText="1"/>
    </xf>
    <xf numFmtId="43" fontId="64" fillId="0" borderId="0" xfId="36" applyFont="1" applyBorder="1" applyAlignment="1">
      <alignment/>
    </xf>
    <xf numFmtId="0" fontId="0" fillId="0" borderId="0" xfId="0" applyAlignment="1">
      <alignment horizontal="center" vertical="center"/>
    </xf>
    <xf numFmtId="0" fontId="67" fillId="0" borderId="0" xfId="0" applyFont="1" applyAlignment="1">
      <alignment/>
    </xf>
    <xf numFmtId="43" fontId="67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8" fillId="0" borderId="0" xfId="0" applyFont="1" applyAlignment="1">
      <alignment/>
    </xf>
    <xf numFmtId="43" fontId="68" fillId="0" borderId="0" xfId="36" applyFont="1" applyAlignment="1">
      <alignment/>
    </xf>
    <xf numFmtId="0" fontId="69" fillId="0" borderId="0" xfId="0" applyFont="1" applyAlignment="1">
      <alignment/>
    </xf>
    <xf numFmtId="0" fontId="69" fillId="0" borderId="10" xfId="0" applyFont="1" applyBorder="1" applyAlignment="1">
      <alignment horizontal="center"/>
    </xf>
    <xf numFmtId="43" fontId="68" fillId="0" borderId="11" xfId="36" applyFont="1" applyBorder="1" applyAlignment="1">
      <alignment/>
    </xf>
    <xf numFmtId="0" fontId="68" fillId="0" borderId="11" xfId="0" applyFont="1" applyBorder="1" applyAlignment="1">
      <alignment/>
    </xf>
    <xf numFmtId="0" fontId="68" fillId="0" borderId="12" xfId="0" applyFont="1" applyBorder="1" applyAlignment="1">
      <alignment/>
    </xf>
    <xf numFmtId="43" fontId="68" fillId="0" borderId="12" xfId="36" applyFont="1" applyBorder="1" applyAlignment="1">
      <alignment/>
    </xf>
    <xf numFmtId="43" fontId="68" fillId="0" borderId="10" xfId="36" applyFont="1" applyBorder="1" applyAlignment="1">
      <alignment/>
    </xf>
    <xf numFmtId="43" fontId="69" fillId="0" borderId="10" xfId="36" applyFont="1" applyBorder="1" applyAlignment="1">
      <alignment/>
    </xf>
    <xf numFmtId="43" fontId="69" fillId="0" borderId="13" xfId="36" applyFont="1" applyBorder="1" applyAlignment="1">
      <alignment/>
    </xf>
    <xf numFmtId="0" fontId="68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43" fontId="8" fillId="0" borderId="15" xfId="36" applyFont="1" applyBorder="1" applyAlignment="1">
      <alignment/>
    </xf>
    <xf numFmtId="43" fontId="7" fillId="0" borderId="15" xfId="0" applyNumberFormat="1" applyFont="1" applyBorder="1" applyAlignment="1">
      <alignment/>
    </xf>
    <xf numFmtId="43" fontId="7" fillId="0" borderId="10" xfId="0" applyNumberFormat="1" applyFont="1" applyBorder="1" applyAlignment="1">
      <alignment/>
    </xf>
    <xf numFmtId="0" fontId="68" fillId="0" borderId="10" xfId="0" applyFont="1" applyBorder="1" applyAlignment="1">
      <alignment/>
    </xf>
    <xf numFmtId="43" fontId="8" fillId="0" borderId="10" xfId="36" applyFont="1" applyBorder="1" applyAlignment="1">
      <alignment/>
    </xf>
    <xf numFmtId="43" fontId="7" fillId="0" borderId="10" xfId="36" applyFont="1" applyBorder="1" applyAlignment="1">
      <alignment/>
    </xf>
    <xf numFmtId="43" fontId="69" fillId="0" borderId="10" xfId="36" applyFont="1" applyBorder="1" applyAlignment="1">
      <alignment horizontal="center"/>
    </xf>
    <xf numFmtId="0" fontId="68" fillId="0" borderId="11" xfId="0" applyFont="1" applyBorder="1" applyAlignment="1">
      <alignment horizontal="center"/>
    </xf>
    <xf numFmtId="0" fontId="68" fillId="0" borderId="12" xfId="0" applyFont="1" applyBorder="1" applyAlignment="1">
      <alignment horizontal="center"/>
    </xf>
    <xf numFmtId="43" fontId="68" fillId="0" borderId="14" xfId="36" applyFont="1" applyBorder="1" applyAlignment="1">
      <alignment/>
    </xf>
    <xf numFmtId="43" fontId="69" fillId="0" borderId="14" xfId="36" applyFont="1" applyBorder="1" applyAlignment="1">
      <alignment/>
    </xf>
    <xf numFmtId="0" fontId="68" fillId="0" borderId="13" xfId="0" applyFont="1" applyBorder="1" applyAlignment="1">
      <alignment/>
    </xf>
    <xf numFmtId="0" fontId="68" fillId="0" borderId="10" xfId="0" applyFont="1" applyBorder="1" applyAlignment="1">
      <alignment horizontal="center"/>
    </xf>
    <xf numFmtId="0" fontId="67" fillId="0" borderId="0" xfId="0" applyFont="1" applyAlignment="1">
      <alignment/>
    </xf>
    <xf numFmtId="43" fontId="4" fillId="0" borderId="0" xfId="38" applyFont="1" applyAlignment="1">
      <alignment/>
    </xf>
    <xf numFmtId="43" fontId="5" fillId="0" borderId="0" xfId="38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43" fontId="10" fillId="0" borderId="0" xfId="38" applyNumberFormat="1" applyFont="1" applyAlignment="1">
      <alignment/>
    </xf>
    <xf numFmtId="43" fontId="4" fillId="0" borderId="0" xfId="38" applyFont="1" applyBorder="1" applyAlignment="1">
      <alignment/>
    </xf>
    <xf numFmtId="43" fontId="5" fillId="0" borderId="0" xfId="38" applyFont="1" applyBorder="1" applyAlignment="1">
      <alignment/>
    </xf>
    <xf numFmtId="43" fontId="5" fillId="0" borderId="16" xfId="38" applyFont="1" applyBorder="1" applyAlignment="1">
      <alignment/>
    </xf>
    <xf numFmtId="43" fontId="4" fillId="0" borderId="17" xfId="38" applyFont="1" applyBorder="1" applyAlignment="1">
      <alignment/>
    </xf>
    <xf numFmtId="43" fontId="4" fillId="0" borderId="17" xfId="0" applyNumberFormat="1" applyFont="1" applyBorder="1" applyAlignment="1">
      <alignment/>
    </xf>
    <xf numFmtId="0" fontId="70" fillId="0" borderId="0" xfId="0" applyFont="1" applyAlignment="1">
      <alignment/>
    </xf>
    <xf numFmtId="0" fontId="8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43" fontId="12" fillId="0" borderId="10" xfId="36" applyFont="1" applyBorder="1" applyAlignment="1">
      <alignment/>
    </xf>
    <xf numFmtId="43" fontId="12" fillId="0" borderId="10" xfId="36" applyFont="1" applyBorder="1" applyAlignment="1">
      <alignment horizontal="center"/>
    </xf>
    <xf numFmtId="0" fontId="12" fillId="0" borderId="10" xfId="0" applyFont="1" applyBorder="1" applyAlignment="1">
      <alignment horizontal="right"/>
    </xf>
    <xf numFmtId="43" fontId="11" fillId="0" borderId="10" xfId="36" applyFont="1" applyBorder="1" applyAlignment="1">
      <alignment/>
    </xf>
    <xf numFmtId="43" fontId="11" fillId="0" borderId="10" xfId="36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8" xfId="0" applyFont="1" applyBorder="1" applyAlignment="1">
      <alignment horizontal="center"/>
    </xf>
    <xf numFmtId="43" fontId="11" fillId="0" borderId="18" xfId="36" applyFont="1" applyBorder="1" applyAlignment="1">
      <alignment/>
    </xf>
    <xf numFmtId="43" fontId="11" fillId="0" borderId="18" xfId="36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3" fontId="11" fillId="0" borderId="0" xfId="36" applyFont="1" applyBorder="1" applyAlignment="1">
      <alignment/>
    </xf>
    <xf numFmtId="43" fontId="11" fillId="0" borderId="0" xfId="36" applyFont="1" applyBorder="1" applyAlignment="1">
      <alignment horizontal="center"/>
    </xf>
    <xf numFmtId="43" fontId="12" fillId="0" borderId="18" xfId="36" applyFont="1" applyBorder="1" applyAlignment="1">
      <alignment/>
    </xf>
    <xf numFmtId="43" fontId="12" fillId="0" borderId="18" xfId="36" applyFont="1" applyBorder="1" applyAlignment="1">
      <alignment horizontal="center"/>
    </xf>
    <xf numFmtId="43" fontId="12" fillId="0" borderId="16" xfId="36" applyFont="1" applyBorder="1" applyAlignment="1">
      <alignment/>
    </xf>
    <xf numFmtId="43" fontId="12" fillId="0" borderId="16" xfId="36" applyFont="1" applyBorder="1" applyAlignment="1">
      <alignment horizontal="center"/>
    </xf>
    <xf numFmtId="43" fontId="11" fillId="0" borderId="11" xfId="36" applyFont="1" applyBorder="1" applyAlignment="1">
      <alignment horizontal="center"/>
    </xf>
    <xf numFmtId="43" fontId="11" fillId="0" borderId="19" xfId="36" applyFont="1" applyBorder="1" applyAlignment="1">
      <alignment horizontal="center"/>
    </xf>
    <xf numFmtId="195" fontId="6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49" fontId="8" fillId="0" borderId="10" xfId="0" applyNumberFormat="1" applyFont="1" applyBorder="1" applyAlignment="1">
      <alignment horizontal="center"/>
    </xf>
    <xf numFmtId="43" fontId="8" fillId="0" borderId="10" xfId="38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43" fontId="8" fillId="0" borderId="10" xfId="38" applyFont="1" applyBorder="1" applyAlignment="1">
      <alignment/>
    </xf>
    <xf numFmtId="43" fontId="7" fillId="0" borderId="10" xfId="38" applyFont="1" applyBorder="1" applyAlignment="1">
      <alignment/>
    </xf>
    <xf numFmtId="49" fontId="8" fillId="0" borderId="0" xfId="0" applyNumberFormat="1" applyFont="1" applyAlignment="1">
      <alignment/>
    </xf>
    <xf numFmtId="43" fontId="8" fillId="0" borderId="0" xfId="38" applyFont="1" applyAlignment="1">
      <alignment/>
    </xf>
    <xf numFmtId="43" fontId="71" fillId="0" borderId="0" xfId="36" applyFont="1" applyAlignment="1">
      <alignment/>
    </xf>
    <xf numFmtId="0" fontId="73" fillId="0" borderId="0" xfId="0" applyFont="1" applyAlignment="1">
      <alignment/>
    </xf>
    <xf numFmtId="43" fontId="71" fillId="0" borderId="16" xfId="36" applyFont="1" applyBorder="1" applyAlignment="1">
      <alignment/>
    </xf>
    <xf numFmtId="43" fontId="8" fillId="0" borderId="10" xfId="38" applyFont="1" applyFill="1" applyBorder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72" fillId="0" borderId="0" xfId="0" applyFont="1" applyFill="1" applyAlignment="1">
      <alignment/>
    </xf>
    <xf numFmtId="43" fontId="12" fillId="0" borderId="10" xfId="36" applyFont="1" applyFill="1" applyBorder="1" applyAlignment="1">
      <alignment/>
    </xf>
    <xf numFmtId="43" fontId="11" fillId="0" borderId="10" xfId="36" applyFont="1" applyFill="1" applyBorder="1" applyAlignment="1">
      <alignment/>
    </xf>
    <xf numFmtId="0" fontId="12" fillId="0" borderId="0" xfId="0" applyFont="1" applyAlignment="1">
      <alignment/>
    </xf>
    <xf numFmtId="195" fontId="6" fillId="0" borderId="10" xfId="0" applyNumberFormat="1" applyFont="1" applyFill="1" applyBorder="1" applyAlignment="1">
      <alignment horizontal="left"/>
    </xf>
    <xf numFmtId="43" fontId="12" fillId="0" borderId="10" xfId="36" applyFont="1" applyFill="1" applyBorder="1" applyAlignment="1">
      <alignment horizontal="center"/>
    </xf>
    <xf numFmtId="195" fontId="6" fillId="0" borderId="10" xfId="0" applyNumberFormat="1" applyFont="1" applyFill="1" applyBorder="1" applyAlignment="1">
      <alignment/>
    </xf>
    <xf numFmtId="195" fontId="6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74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43" fontId="6" fillId="0" borderId="20" xfId="36" applyFont="1" applyFill="1" applyBorder="1" applyAlignment="1">
      <alignment/>
    </xf>
    <xf numFmtId="43" fontId="6" fillId="0" borderId="10" xfId="36" applyFont="1" applyFill="1" applyBorder="1" applyAlignment="1">
      <alignment/>
    </xf>
    <xf numFmtId="43" fontId="11" fillId="0" borderId="18" xfId="36" applyFont="1" applyFill="1" applyBorder="1" applyAlignment="1">
      <alignment/>
    </xf>
    <xf numFmtId="43" fontId="11" fillId="0" borderId="0" xfId="36" applyFont="1" applyFill="1" applyBorder="1" applyAlignment="1">
      <alignment/>
    </xf>
    <xf numFmtId="43" fontId="12" fillId="0" borderId="18" xfId="36" applyFont="1" applyFill="1" applyBorder="1" applyAlignment="1">
      <alignment/>
    </xf>
    <xf numFmtId="43" fontId="12" fillId="0" borderId="16" xfId="36" applyFont="1" applyFill="1" applyBorder="1" applyAlignment="1">
      <alignment/>
    </xf>
    <xf numFmtId="43" fontId="11" fillId="0" borderId="10" xfId="36" applyFont="1" applyFill="1" applyBorder="1" applyAlignment="1">
      <alignment horizontal="center"/>
    </xf>
    <xf numFmtId="0" fontId="12" fillId="0" borderId="0" xfId="0" applyFont="1" applyFill="1" applyAlignment="1">
      <alignment/>
    </xf>
    <xf numFmtId="43" fontId="72" fillId="33" borderId="0" xfId="36" applyFont="1" applyFill="1" applyAlignment="1">
      <alignment/>
    </xf>
    <xf numFmtId="43" fontId="12" fillId="33" borderId="0" xfId="36" applyFont="1" applyFill="1" applyAlignment="1">
      <alignment/>
    </xf>
    <xf numFmtId="43" fontId="72" fillId="0" borderId="0" xfId="36" applyFont="1" applyAlignment="1">
      <alignment/>
    </xf>
    <xf numFmtId="43" fontId="68" fillId="0" borderId="0" xfId="36" applyFont="1" applyFill="1" applyAlignment="1">
      <alignment/>
    </xf>
    <xf numFmtId="0" fontId="71" fillId="0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71" fillId="0" borderId="0" xfId="0" applyFont="1" applyAlignment="1">
      <alignment horizontal="center"/>
    </xf>
    <xf numFmtId="0" fontId="75" fillId="0" borderId="0" xfId="0" applyFont="1" applyAlignment="1">
      <alignment/>
    </xf>
    <xf numFmtId="43" fontId="71" fillId="0" borderId="0" xfId="36" applyFont="1" applyFill="1" applyAlignment="1">
      <alignment/>
    </xf>
    <xf numFmtId="43" fontId="73" fillId="0" borderId="21" xfId="36" applyFont="1" applyBorder="1" applyAlignment="1">
      <alignment/>
    </xf>
    <xf numFmtId="43" fontId="71" fillId="0" borderId="21" xfId="36" applyFont="1" applyBorder="1" applyAlignment="1">
      <alignment/>
    </xf>
    <xf numFmtId="0" fontId="73" fillId="0" borderId="0" xfId="0" applyFont="1" applyFill="1" applyAlignment="1">
      <alignment/>
    </xf>
    <xf numFmtId="0" fontId="71" fillId="0" borderId="0" xfId="0" applyFont="1" applyFill="1" applyAlignment="1">
      <alignment horizontal="center"/>
    </xf>
    <xf numFmtId="43" fontId="73" fillId="0" borderId="22" xfId="36" applyFont="1" applyFill="1" applyBorder="1" applyAlignment="1">
      <alignment/>
    </xf>
    <xf numFmtId="43" fontId="73" fillId="0" borderId="0" xfId="36" applyFont="1" applyFill="1" applyBorder="1" applyAlignment="1">
      <alignment/>
    </xf>
    <xf numFmtId="43" fontId="73" fillId="0" borderId="21" xfId="36" applyFont="1" applyFill="1" applyBorder="1" applyAlignment="1">
      <alignment/>
    </xf>
    <xf numFmtId="0" fontId="76" fillId="0" borderId="0" xfId="0" applyFont="1" applyFill="1" applyAlignment="1">
      <alignment/>
    </xf>
    <xf numFmtId="0" fontId="77" fillId="0" borderId="0" xfId="0" applyFont="1" applyAlignment="1">
      <alignment/>
    </xf>
    <xf numFmtId="43" fontId="76" fillId="0" borderId="0" xfId="36" applyFont="1" applyAlignment="1">
      <alignment/>
    </xf>
    <xf numFmtId="0" fontId="76" fillId="0" borderId="0" xfId="0" applyFont="1" applyAlignment="1">
      <alignment/>
    </xf>
    <xf numFmtId="0" fontId="77" fillId="0" borderId="10" xfId="0" applyFont="1" applyBorder="1" applyAlignment="1">
      <alignment horizontal="center"/>
    </xf>
    <xf numFmtId="0" fontId="77" fillId="0" borderId="10" xfId="0" applyFont="1" applyBorder="1" applyAlignment="1">
      <alignment horizontal="center" vertical="center" wrapText="1"/>
    </xf>
    <xf numFmtId="0" fontId="77" fillId="0" borderId="11" xfId="0" applyFont="1" applyBorder="1" applyAlignment="1">
      <alignment/>
    </xf>
    <xf numFmtId="43" fontId="76" fillId="0" borderId="11" xfId="36" applyFont="1" applyBorder="1" applyAlignment="1">
      <alignment/>
    </xf>
    <xf numFmtId="0" fontId="76" fillId="0" borderId="11" xfId="0" applyFont="1" applyBorder="1" applyAlignment="1">
      <alignment/>
    </xf>
    <xf numFmtId="0" fontId="76" fillId="0" borderId="11" xfId="0" applyFont="1" applyFill="1" applyBorder="1" applyAlignment="1">
      <alignment/>
    </xf>
    <xf numFmtId="0" fontId="15" fillId="0" borderId="23" xfId="0" applyFont="1" applyBorder="1" applyAlignment="1">
      <alignment horizontal="left" vertical="center"/>
    </xf>
    <xf numFmtId="43" fontId="76" fillId="0" borderId="12" xfId="36" applyFont="1" applyBorder="1" applyAlignment="1">
      <alignment horizontal="center"/>
    </xf>
    <xf numFmtId="0" fontId="76" fillId="0" borderId="12" xfId="0" applyFont="1" applyBorder="1" applyAlignment="1">
      <alignment/>
    </xf>
    <xf numFmtId="43" fontId="76" fillId="0" borderId="12" xfId="36" applyFont="1" applyFill="1" applyBorder="1" applyAlignment="1">
      <alignment/>
    </xf>
    <xf numFmtId="0" fontId="15" fillId="0" borderId="23" xfId="0" applyFont="1" applyBorder="1" applyAlignment="1">
      <alignment horizontal="left"/>
    </xf>
    <xf numFmtId="43" fontId="15" fillId="0" borderId="23" xfId="38" applyFont="1" applyBorder="1" applyAlignment="1">
      <alignment horizontal="left"/>
    </xf>
    <xf numFmtId="43" fontId="76" fillId="0" borderId="12" xfId="36" applyFont="1" applyBorder="1" applyAlignment="1">
      <alignment/>
    </xf>
    <xf numFmtId="0" fontId="77" fillId="0" borderId="12" xfId="0" applyFont="1" applyBorder="1" applyAlignment="1">
      <alignment horizontal="right"/>
    </xf>
    <xf numFmtId="43" fontId="76" fillId="0" borderId="10" xfId="36" applyFont="1" applyBorder="1" applyAlignment="1">
      <alignment horizontal="center"/>
    </xf>
    <xf numFmtId="0" fontId="77" fillId="0" borderId="12" xfId="0" applyFont="1" applyBorder="1" applyAlignment="1">
      <alignment/>
    </xf>
    <xf numFmtId="0" fontId="76" fillId="0" borderId="12" xfId="0" applyFont="1" applyBorder="1" applyAlignment="1">
      <alignment horizontal="right"/>
    </xf>
    <xf numFmtId="43" fontId="77" fillId="0" borderId="10" xfId="36" applyFont="1" applyBorder="1" applyAlignment="1">
      <alignment/>
    </xf>
    <xf numFmtId="0" fontId="77" fillId="0" borderId="14" xfId="0" applyFont="1" applyBorder="1" applyAlignment="1">
      <alignment horizontal="center"/>
    </xf>
    <xf numFmtId="0" fontId="11" fillId="0" borderId="18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43" fontId="11" fillId="9" borderId="10" xfId="36" applyFont="1" applyFill="1" applyBorder="1" applyAlignment="1">
      <alignment/>
    </xf>
    <xf numFmtId="43" fontId="11" fillId="10" borderId="10" xfId="36" applyFont="1" applyFill="1" applyBorder="1" applyAlignment="1">
      <alignment/>
    </xf>
    <xf numFmtId="0" fontId="68" fillId="0" borderId="24" xfId="0" applyFont="1" applyBorder="1" applyAlignment="1">
      <alignment/>
    </xf>
    <xf numFmtId="0" fontId="68" fillId="0" borderId="25" xfId="0" applyFont="1" applyBorder="1" applyAlignment="1">
      <alignment/>
    </xf>
    <xf numFmtId="0" fontId="76" fillId="0" borderId="25" xfId="0" applyFont="1" applyBorder="1" applyAlignment="1">
      <alignment/>
    </xf>
    <xf numFmtId="0" fontId="68" fillId="0" borderId="25" xfId="0" applyFont="1" applyBorder="1" applyAlignment="1">
      <alignment horizontal="center"/>
    </xf>
    <xf numFmtId="0" fontId="8" fillId="0" borderId="25" xfId="0" applyFont="1" applyBorder="1" applyAlignment="1">
      <alignment/>
    </xf>
    <xf numFmtId="43" fontId="8" fillId="0" borderId="25" xfId="36" applyNumberFormat="1" applyFont="1" applyBorder="1" applyAlignment="1">
      <alignment/>
    </xf>
    <xf numFmtId="43" fontId="8" fillId="0" borderId="0" xfId="36" applyNumberFormat="1" applyFont="1" applyAlignment="1">
      <alignment/>
    </xf>
    <xf numFmtId="43" fontId="8" fillId="0" borderId="10" xfId="0" applyNumberFormat="1" applyFont="1" applyBorder="1" applyAlignment="1">
      <alignment horizontal="center" vertical="center" wrapText="1"/>
    </xf>
    <xf numFmtId="43" fontId="8" fillId="0" borderId="24" xfId="36" applyNumberFormat="1" applyFont="1" applyBorder="1" applyAlignment="1">
      <alignment/>
    </xf>
    <xf numFmtId="43" fontId="16" fillId="0" borderId="0" xfId="36" applyNumberFormat="1" applyFont="1" applyAlignment="1">
      <alignment/>
    </xf>
    <xf numFmtId="43" fontId="8" fillId="0" borderId="13" xfId="36" applyNumberFormat="1" applyFont="1" applyBorder="1" applyAlignment="1">
      <alignment/>
    </xf>
    <xf numFmtId="0" fontId="68" fillId="0" borderId="24" xfId="0" applyFont="1" applyBorder="1" applyAlignment="1">
      <alignment horizontal="left"/>
    </xf>
    <xf numFmtId="0" fontId="64" fillId="0" borderId="10" xfId="0" applyFont="1" applyBorder="1" applyAlignment="1">
      <alignment/>
    </xf>
    <xf numFmtId="0" fontId="64" fillId="0" borderId="10" xfId="0" applyFont="1" applyBorder="1" applyAlignment="1">
      <alignment horizontal="center"/>
    </xf>
    <xf numFmtId="43" fontId="64" fillId="0" borderId="10" xfId="36" applyFont="1" applyBorder="1" applyAlignment="1">
      <alignment/>
    </xf>
    <xf numFmtId="0" fontId="64" fillId="0" borderId="24" xfId="0" applyFont="1" applyBorder="1" applyAlignment="1">
      <alignment/>
    </xf>
    <xf numFmtId="43" fontId="64" fillId="0" borderId="24" xfId="36" applyFont="1" applyBorder="1" applyAlignment="1">
      <alignment/>
    </xf>
    <xf numFmtId="0" fontId="64" fillId="0" borderId="25" xfId="0" applyFont="1" applyBorder="1" applyAlignment="1">
      <alignment/>
    </xf>
    <xf numFmtId="43" fontId="64" fillId="0" borderId="25" xfId="36" applyFont="1" applyBorder="1" applyAlignment="1">
      <alignment/>
    </xf>
    <xf numFmtId="0" fontId="64" fillId="0" borderId="26" xfId="0" applyFont="1" applyBorder="1" applyAlignment="1">
      <alignment/>
    </xf>
    <xf numFmtId="43" fontId="64" fillId="0" borderId="26" xfId="36" applyFont="1" applyBorder="1" applyAlignment="1">
      <alignment/>
    </xf>
    <xf numFmtId="43" fontId="72" fillId="0" borderId="0" xfId="36" applyFont="1" applyFill="1" applyAlignment="1">
      <alignment/>
    </xf>
    <xf numFmtId="43" fontId="76" fillId="0" borderId="12" xfId="36" applyFont="1" applyFill="1" applyBorder="1" applyAlignment="1">
      <alignment horizontal="center"/>
    </xf>
    <xf numFmtId="43" fontId="8" fillId="0" borderId="15" xfId="0" applyNumberFormat="1" applyFont="1" applyBorder="1" applyAlignment="1">
      <alignment/>
    </xf>
    <xf numFmtId="0" fontId="5" fillId="0" borderId="0" xfId="0" applyFont="1" applyAlignment="1">
      <alignment/>
    </xf>
    <xf numFmtId="49" fontId="5" fillId="0" borderId="0" xfId="38" applyNumberFormat="1" applyFont="1" applyAlignment="1">
      <alignment horizontal="right"/>
    </xf>
    <xf numFmtId="49" fontId="5" fillId="0" borderId="16" xfId="38" applyNumberFormat="1" applyFont="1" applyBorder="1" applyAlignment="1">
      <alignment horizontal="right"/>
    </xf>
    <xf numFmtId="43" fontId="74" fillId="0" borderId="0" xfId="36" applyFont="1" applyFill="1" applyAlignment="1">
      <alignment/>
    </xf>
    <xf numFmtId="0" fontId="11" fillId="6" borderId="10" xfId="0" applyFont="1" applyFill="1" applyBorder="1" applyAlignment="1">
      <alignment/>
    </xf>
    <xf numFmtId="0" fontId="11" fillId="6" borderId="10" xfId="0" applyFont="1" applyFill="1" applyBorder="1" applyAlignment="1">
      <alignment horizontal="left"/>
    </xf>
    <xf numFmtId="0" fontId="12" fillId="6" borderId="10" xfId="0" applyFont="1" applyFill="1" applyBorder="1" applyAlignment="1">
      <alignment/>
    </xf>
    <xf numFmtId="43" fontId="11" fillId="6" borderId="10" xfId="36" applyFont="1" applyFill="1" applyBorder="1" applyAlignment="1">
      <alignment/>
    </xf>
    <xf numFmtId="0" fontId="8" fillId="0" borderId="0" xfId="0" applyFont="1" applyAlignment="1">
      <alignment/>
    </xf>
    <xf numFmtId="43" fontId="73" fillId="0" borderId="17" xfId="36" applyFont="1" applyFill="1" applyBorder="1" applyAlignment="1">
      <alignment/>
    </xf>
    <xf numFmtId="43" fontId="77" fillId="0" borderId="13" xfId="36" applyFont="1" applyFill="1" applyBorder="1" applyAlignment="1">
      <alignment/>
    </xf>
    <xf numFmtId="0" fontId="76" fillId="0" borderId="14" xfId="0" applyFont="1" applyFill="1" applyBorder="1" applyAlignment="1">
      <alignment/>
    </xf>
    <xf numFmtId="43" fontId="77" fillId="0" borderId="13" xfId="0" applyNumberFormat="1" applyFont="1" applyFill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43" fontId="8" fillId="0" borderId="10" xfId="36" applyFont="1" applyFill="1" applyBorder="1" applyAlignment="1">
      <alignment/>
    </xf>
    <xf numFmtId="0" fontId="71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3" fontId="12" fillId="0" borderId="11" xfId="36" applyFont="1" applyBorder="1" applyAlignment="1">
      <alignment horizontal="center" vertical="center"/>
    </xf>
    <xf numFmtId="43" fontId="12" fillId="0" borderId="14" xfId="36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/>
    </xf>
    <xf numFmtId="0" fontId="73" fillId="0" borderId="0" xfId="0" applyFont="1" applyAlignment="1">
      <alignment wrapText="1"/>
    </xf>
    <xf numFmtId="0" fontId="73" fillId="0" borderId="0" xfId="0" applyFont="1" applyAlignment="1">
      <alignment/>
    </xf>
    <xf numFmtId="0" fontId="14" fillId="0" borderId="0" xfId="0" applyFont="1" applyFill="1" applyAlignment="1">
      <alignment horizontal="center" vertical="center" wrapText="1"/>
    </xf>
    <xf numFmtId="0" fontId="76" fillId="0" borderId="0" xfId="0" applyFont="1" applyFill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43" fontId="77" fillId="0" borderId="10" xfId="36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9" fillId="0" borderId="27" xfId="0" applyFont="1" applyBorder="1" applyAlignment="1">
      <alignment horizontal="center" vertical="center" wrapText="1"/>
    </xf>
    <xf numFmtId="0" fontId="78" fillId="0" borderId="21" xfId="0" applyFont="1" applyBorder="1" applyAlignment="1">
      <alignment horizontal="center" vertical="center" wrapText="1"/>
    </xf>
    <xf numFmtId="0" fontId="67" fillId="0" borderId="0" xfId="0" applyFont="1" applyFill="1" applyAlignment="1">
      <alignment/>
    </xf>
    <xf numFmtId="0" fontId="69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justify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7" fillId="0" borderId="0" xfId="0" applyFont="1" applyAlignment="1">
      <alignment/>
    </xf>
    <xf numFmtId="0" fontId="69" fillId="0" borderId="0" xfId="0" applyFont="1" applyAlignment="1">
      <alignment/>
    </xf>
    <xf numFmtId="0" fontId="4" fillId="0" borderId="0" xfId="0" applyFont="1" applyAlignment="1">
      <alignment/>
    </xf>
    <xf numFmtId="0" fontId="68" fillId="0" borderId="0" xfId="0" applyFont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1;&#3637;&#3604;&#3591;&#3610;&#3611;&#3637;&#3591;&#3610;&#3611;&#3619;&#3632;&#3617;&#3634;&#3603;%202560\&#3591;&#3610;&#3649;&#3626;&#3604;&#3591;&#3600;&#3634;&#3609;&#3632;&#3607;&#3634;&#3591;&#3585;&#3634;&#3619;&#3648;&#3591;&#3636;&#3609;&#3611;&#3637;%202559%20%20(&#3626;&#3605;&#3591;.)%20&#3603;%20&#3623;&#3633;&#3609;&#3607;&#3637;&#3656;%20%206%20&#3617;&#3636;.&#3618;..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ใบผ่านทั่วไป"/>
      <sheetName val="งบรับ-จ่ายรวมเงินอุดหนุน"/>
      <sheetName val="งบทดลองก่อนการปรับปรุง"/>
      <sheetName val="งบทดลองหลังปรับปรุง"/>
      <sheetName val="งบทรัพย์สินใหม่"/>
      <sheetName val="งบแสดงฐานะการเงิน1"/>
      <sheetName val="หมายเหตุ2งบทรัพย์สิน"/>
      <sheetName val="เงินฝากธนาคารและรายได้ค้างรับ"/>
      <sheetName val="ลูกหนี้ค่าภาษี"/>
      <sheetName val="ลูกหนี้รายได้อื่น"/>
      <sheetName val="รายจ่ายค้างจ่าย"/>
      <sheetName val="เงินรับฝาก"/>
      <sheetName val="เงินสะสม"/>
      <sheetName val="รายละเอียดแนบท้าย หมายเหตุ 9"/>
      <sheetName val="แนบท้ายหมายเหตุ 10"/>
      <sheetName val="เงินทุนสำรองเงินสะสม"/>
      <sheetName val="สรุปรายจ่ายตามงบประมาณ"/>
      <sheetName val="รายจ่ายตามแผนงานรวม"/>
      <sheetName val="จ่ายจากเงินสะสม"/>
      <sheetName val="จ่ายจากเงินทุนสำรองจ่าย"/>
      <sheetName val="งบแสดงจากเงินรายรับ"/>
      <sheetName val="งบแสดงจากเงินรายรับและสะสม"/>
      <sheetName val="งบแสดงจากเงินทุนสำรองเงินสะสม"/>
      <sheetName val="แผนงานงบกลาง"/>
      <sheetName val="แผนบริหารานทั่วไป"/>
      <sheetName val="การรักษาความสงบภายใน"/>
      <sheetName val="แผนการศึกษา"/>
      <sheetName val="สาธารณสุข"/>
      <sheetName val="สังคมสงเคราะห์"/>
      <sheetName val="เคหะและชุมชน"/>
      <sheetName val="อุตสาหกรรมและการโยธา"/>
      <sheetName val="สร้างความเข้มแข็งของชุมชน"/>
      <sheetName val="ศาสนาวัฒนธรรม"/>
      <sheetName val="การเกษตร"/>
      <sheetName val="หมายเหตุประกอบงบ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9"/>
  <sheetViews>
    <sheetView zoomScalePageLayoutView="0" workbookViewId="0" topLeftCell="A1">
      <selection activeCell="C191" sqref="C191"/>
    </sheetView>
  </sheetViews>
  <sheetFormatPr defaultColWidth="9.140625" defaultRowHeight="15"/>
  <cols>
    <col min="1" max="1" width="50.421875" style="56" customWidth="1"/>
    <col min="2" max="2" width="12.28125" style="56" customWidth="1"/>
    <col min="3" max="3" width="12.421875" style="115" customWidth="1"/>
    <col min="4" max="4" width="6.140625" style="100" customWidth="1"/>
    <col min="5" max="5" width="12.00390625" style="100" customWidth="1"/>
    <col min="6" max="6" width="10.7109375" style="56" customWidth="1"/>
    <col min="7" max="8" width="10.8515625" style="56" bestFit="1" customWidth="1"/>
    <col min="9" max="16384" width="9.00390625" style="56" customWidth="1"/>
  </cols>
  <sheetData>
    <row r="1" spans="1:5" ht="18.75">
      <c r="A1" s="206" t="s">
        <v>238</v>
      </c>
      <c r="B1" s="206"/>
      <c r="C1" s="206"/>
      <c r="D1" s="206"/>
      <c r="E1" s="206"/>
    </row>
    <row r="2" spans="1:5" ht="18.75">
      <c r="A2" s="206" t="s">
        <v>114</v>
      </c>
      <c r="B2" s="206"/>
      <c r="C2" s="206"/>
      <c r="D2" s="206"/>
      <c r="E2" s="206"/>
    </row>
    <row r="3" spans="1:5" ht="18.75">
      <c r="A3" s="206" t="s">
        <v>306</v>
      </c>
      <c r="B3" s="206"/>
      <c r="C3" s="206"/>
      <c r="D3" s="206"/>
      <c r="E3" s="206"/>
    </row>
    <row r="4" spans="1:5" ht="18.75">
      <c r="A4" s="202" t="s">
        <v>64</v>
      </c>
      <c r="B4" s="58" t="s">
        <v>106</v>
      </c>
      <c r="C4" s="203" t="s">
        <v>115</v>
      </c>
      <c r="D4" s="57" t="s">
        <v>116</v>
      </c>
      <c r="E4" s="202" t="s">
        <v>117</v>
      </c>
    </row>
    <row r="5" spans="1:5" ht="18.75">
      <c r="A5" s="202"/>
      <c r="B5" s="59" t="s">
        <v>110</v>
      </c>
      <c r="C5" s="203"/>
      <c r="D5" s="57" t="s">
        <v>118</v>
      </c>
      <c r="E5" s="202"/>
    </row>
    <row r="6" spans="1:5" ht="18.75">
      <c r="A6" s="60" t="s">
        <v>110</v>
      </c>
      <c r="B6" s="61"/>
      <c r="C6" s="105"/>
      <c r="D6" s="61"/>
      <c r="E6" s="61"/>
    </row>
    <row r="7" spans="1:5" ht="18.75">
      <c r="A7" s="60" t="s">
        <v>119</v>
      </c>
      <c r="B7" s="62"/>
      <c r="C7" s="98"/>
      <c r="D7" s="62"/>
      <c r="E7" s="62"/>
    </row>
    <row r="8" spans="1:5" ht="18.75">
      <c r="A8" s="60" t="s">
        <v>120</v>
      </c>
      <c r="B8" s="62"/>
      <c r="C8" s="98"/>
      <c r="D8" s="62"/>
      <c r="E8" s="62"/>
    </row>
    <row r="9" spans="1:5" ht="18.75">
      <c r="A9" s="61" t="s">
        <v>121</v>
      </c>
      <c r="B9" s="98">
        <v>195000</v>
      </c>
      <c r="C9" s="98">
        <v>228945.27</v>
      </c>
      <c r="D9" s="63" t="s">
        <v>122</v>
      </c>
      <c r="E9" s="62">
        <f>C9-B9</f>
        <v>33945.26999999999</v>
      </c>
    </row>
    <row r="10" spans="1:5" ht="18.75">
      <c r="A10" s="61" t="s">
        <v>123</v>
      </c>
      <c r="B10" s="98">
        <v>82000</v>
      </c>
      <c r="C10" s="98">
        <v>84950</v>
      </c>
      <c r="D10" s="63" t="s">
        <v>116</v>
      </c>
      <c r="E10" s="62">
        <f>C10-B10</f>
        <v>2950</v>
      </c>
    </row>
    <row r="11" spans="1:5" ht="18.75">
      <c r="A11" s="61" t="s">
        <v>125</v>
      </c>
      <c r="B11" s="98">
        <v>14200</v>
      </c>
      <c r="C11" s="98">
        <v>16042</v>
      </c>
      <c r="D11" s="63" t="s">
        <v>122</v>
      </c>
      <c r="E11" s="62">
        <f>C11-B11</f>
        <v>1842</v>
      </c>
    </row>
    <row r="12" spans="1:5" ht="18.75">
      <c r="A12" s="64" t="s">
        <v>298</v>
      </c>
      <c r="B12" s="157">
        <f>SUM(B9:B11)</f>
        <v>291200</v>
      </c>
      <c r="C12" s="157">
        <f>SUM(C9:C11)</f>
        <v>329937.27</v>
      </c>
      <c r="D12" s="66" t="s">
        <v>116</v>
      </c>
      <c r="E12" s="65">
        <f>C12-B12</f>
        <v>38737.27000000002</v>
      </c>
    </row>
    <row r="13" spans="1:5" ht="18.75">
      <c r="A13" s="61" t="s">
        <v>307</v>
      </c>
      <c r="B13" s="98">
        <v>200000</v>
      </c>
      <c r="C13" s="98">
        <v>294488.7</v>
      </c>
      <c r="D13" s="63" t="s">
        <v>116</v>
      </c>
      <c r="E13" s="65">
        <f aca="true" t="shared" si="0" ref="E13:E23">C13-B13</f>
        <v>94488.70000000001</v>
      </c>
    </row>
    <row r="14" spans="1:5" ht="18.75">
      <c r="A14" s="61" t="s">
        <v>319</v>
      </c>
      <c r="B14" s="98">
        <v>8300000</v>
      </c>
      <c r="C14" s="98">
        <v>8300020.49</v>
      </c>
      <c r="D14" s="63" t="s">
        <v>116</v>
      </c>
      <c r="E14" s="65">
        <f>C14-B14</f>
        <v>20.490000000223517</v>
      </c>
    </row>
    <row r="15" spans="1:5" ht="18.75">
      <c r="A15" s="61" t="s">
        <v>320</v>
      </c>
      <c r="B15" s="98">
        <v>2890000</v>
      </c>
      <c r="C15" s="98">
        <v>2666774.34</v>
      </c>
      <c r="D15" s="63" t="s">
        <v>118</v>
      </c>
      <c r="E15" s="65">
        <f>C15-B15</f>
        <v>-223225.66000000015</v>
      </c>
    </row>
    <row r="16" spans="1:5" ht="18.75">
      <c r="A16" s="61" t="s">
        <v>321</v>
      </c>
      <c r="B16" s="98">
        <v>65000</v>
      </c>
      <c r="C16" s="98">
        <v>42816.09</v>
      </c>
      <c r="D16" s="63" t="s">
        <v>118</v>
      </c>
      <c r="E16" s="65">
        <f t="shared" si="0"/>
        <v>-22183.910000000003</v>
      </c>
    </row>
    <row r="17" spans="1:5" ht="18.75">
      <c r="A17" s="61" t="s">
        <v>322</v>
      </c>
      <c r="B17" s="98">
        <v>1500000</v>
      </c>
      <c r="C17" s="98">
        <v>1442254.57</v>
      </c>
      <c r="D17" s="63" t="s">
        <v>118</v>
      </c>
      <c r="E17" s="65">
        <f t="shared" si="0"/>
        <v>-57745.429999999935</v>
      </c>
    </row>
    <row r="18" spans="1:5" ht="18.75">
      <c r="A18" s="61" t="s">
        <v>323</v>
      </c>
      <c r="B18" s="98">
        <v>2520000</v>
      </c>
      <c r="C18" s="98">
        <v>3475663.83</v>
      </c>
      <c r="D18" s="63" t="s">
        <v>116</v>
      </c>
      <c r="E18" s="65">
        <f t="shared" si="0"/>
        <v>955663.8300000001</v>
      </c>
    </row>
    <row r="19" spans="1:5" ht="18.75">
      <c r="A19" s="61" t="s">
        <v>126</v>
      </c>
      <c r="B19" s="98">
        <v>45000</v>
      </c>
      <c r="C19" s="98">
        <v>53926.62</v>
      </c>
      <c r="D19" s="63" t="s">
        <v>116</v>
      </c>
      <c r="E19" s="65">
        <f>C19-B19</f>
        <v>8926.620000000003</v>
      </c>
    </row>
    <row r="20" spans="1:5" ht="18.75">
      <c r="A20" s="61" t="s">
        <v>127</v>
      </c>
      <c r="B20" s="98">
        <v>85000</v>
      </c>
      <c r="C20" s="98">
        <v>44930.02</v>
      </c>
      <c r="D20" s="63" t="s">
        <v>124</v>
      </c>
      <c r="E20" s="65">
        <f>C20-B20</f>
        <v>-40069.98</v>
      </c>
    </row>
    <row r="21" spans="1:5" ht="18.75">
      <c r="A21" s="61" t="s">
        <v>324</v>
      </c>
      <c r="B21" s="98">
        <v>1167600</v>
      </c>
      <c r="C21" s="98">
        <v>1042236</v>
      </c>
      <c r="D21" s="63" t="s">
        <v>118</v>
      </c>
      <c r="E21" s="65">
        <f t="shared" si="0"/>
        <v>-125364</v>
      </c>
    </row>
    <row r="22" spans="1:5" ht="18.75">
      <c r="A22" s="64" t="s">
        <v>213</v>
      </c>
      <c r="B22" s="157">
        <f>SUM(B13:B21)</f>
        <v>16772600</v>
      </c>
      <c r="C22" s="157">
        <f>SUM(C13:C21)</f>
        <v>17363110.659999996</v>
      </c>
      <c r="D22" s="66" t="s">
        <v>116</v>
      </c>
      <c r="E22" s="65">
        <f t="shared" si="0"/>
        <v>590510.6599999964</v>
      </c>
    </row>
    <row r="23" spans="1:5" ht="18.75">
      <c r="A23" s="67" t="s">
        <v>60</v>
      </c>
      <c r="B23" s="158">
        <f>B22+B12</f>
        <v>17063800</v>
      </c>
      <c r="C23" s="158">
        <f>C22+C12</f>
        <v>17693047.929999996</v>
      </c>
      <c r="D23" s="66" t="s">
        <v>116</v>
      </c>
      <c r="E23" s="65">
        <f t="shared" si="0"/>
        <v>629247.929999996</v>
      </c>
    </row>
    <row r="24" spans="1:5" ht="18.75">
      <c r="A24" s="60" t="s">
        <v>128</v>
      </c>
      <c r="B24" s="62"/>
      <c r="C24" s="98"/>
      <c r="D24" s="63"/>
      <c r="E24" s="62"/>
    </row>
    <row r="25" spans="1:5" ht="18.75">
      <c r="A25" s="60" t="s">
        <v>129</v>
      </c>
      <c r="B25" s="62"/>
      <c r="C25" s="98"/>
      <c r="D25" s="63"/>
      <c r="E25" s="62"/>
    </row>
    <row r="26" spans="1:5" ht="18.75">
      <c r="A26" s="61" t="s">
        <v>308</v>
      </c>
      <c r="B26" s="98">
        <v>100</v>
      </c>
      <c r="C26" s="98">
        <v>20</v>
      </c>
      <c r="D26" s="63" t="s">
        <v>118</v>
      </c>
      <c r="E26" s="62">
        <f aca="true" t="shared" si="1" ref="E26:E40">C26-B26</f>
        <v>-80</v>
      </c>
    </row>
    <row r="27" spans="1:5" ht="18.75">
      <c r="A27" s="61" t="s">
        <v>309</v>
      </c>
      <c r="B27" s="98">
        <v>500</v>
      </c>
      <c r="C27" s="98">
        <v>1799</v>
      </c>
      <c r="D27" s="63" t="s">
        <v>116</v>
      </c>
      <c r="E27" s="62">
        <f t="shared" si="1"/>
        <v>1299</v>
      </c>
    </row>
    <row r="28" spans="1:5" ht="18.75">
      <c r="A28" s="61" t="s">
        <v>310</v>
      </c>
      <c r="B28" s="98">
        <v>500</v>
      </c>
      <c r="C28" s="98">
        <v>420</v>
      </c>
      <c r="D28" s="63" t="s">
        <v>118</v>
      </c>
      <c r="E28" s="62">
        <f t="shared" si="1"/>
        <v>-80</v>
      </c>
    </row>
    <row r="29" spans="1:5" ht="18.75">
      <c r="A29" s="61" t="s">
        <v>311</v>
      </c>
      <c r="B29" s="98">
        <v>134400</v>
      </c>
      <c r="C29" s="98">
        <v>138280</v>
      </c>
      <c r="D29" s="63" t="s">
        <v>116</v>
      </c>
      <c r="E29" s="62">
        <f t="shared" si="1"/>
        <v>3880</v>
      </c>
    </row>
    <row r="30" spans="1:5" ht="18.75">
      <c r="A30" s="61" t="s">
        <v>312</v>
      </c>
      <c r="B30" s="98">
        <v>10500</v>
      </c>
      <c r="C30" s="98">
        <v>8320</v>
      </c>
      <c r="D30" s="63" t="s">
        <v>118</v>
      </c>
      <c r="E30" s="62">
        <f t="shared" si="1"/>
        <v>-2180</v>
      </c>
    </row>
    <row r="31" spans="1:5" ht="18.75">
      <c r="A31" s="61" t="s">
        <v>313</v>
      </c>
      <c r="B31" s="98">
        <v>1000</v>
      </c>
      <c r="C31" s="98">
        <v>1400</v>
      </c>
      <c r="D31" s="63" t="s">
        <v>116</v>
      </c>
      <c r="E31" s="62">
        <f t="shared" si="1"/>
        <v>400</v>
      </c>
    </row>
    <row r="32" spans="1:5" ht="18.75">
      <c r="A32" s="61" t="s">
        <v>314</v>
      </c>
      <c r="B32" s="98">
        <v>20000</v>
      </c>
      <c r="C32" s="98">
        <v>76588</v>
      </c>
      <c r="D32" s="63" t="s">
        <v>116</v>
      </c>
      <c r="E32" s="62">
        <f t="shared" si="1"/>
        <v>56588</v>
      </c>
    </row>
    <row r="33" spans="1:5" ht="18.75" customHeight="1">
      <c r="A33" s="61" t="s">
        <v>315</v>
      </c>
      <c r="B33" s="98">
        <v>4500</v>
      </c>
      <c r="C33" s="98">
        <v>4500</v>
      </c>
      <c r="D33" s="63"/>
      <c r="E33" s="62">
        <f t="shared" si="1"/>
        <v>0</v>
      </c>
    </row>
    <row r="34" spans="1:5" ht="18.75">
      <c r="A34" s="61" t="s">
        <v>316</v>
      </c>
      <c r="B34" s="98">
        <v>32000</v>
      </c>
      <c r="C34" s="98">
        <v>33600</v>
      </c>
      <c r="D34" s="63" t="s">
        <v>116</v>
      </c>
      <c r="E34" s="62">
        <f t="shared" si="1"/>
        <v>1600</v>
      </c>
    </row>
    <row r="35" spans="1:5" ht="18.75">
      <c r="A35" s="61" t="s">
        <v>317</v>
      </c>
      <c r="B35" s="98">
        <v>2000</v>
      </c>
      <c r="C35" s="98">
        <v>7860</v>
      </c>
      <c r="D35" s="63" t="s">
        <v>116</v>
      </c>
      <c r="E35" s="62">
        <f t="shared" si="1"/>
        <v>5860</v>
      </c>
    </row>
    <row r="36" spans="1:5" ht="18.75">
      <c r="A36" s="61" t="s">
        <v>318</v>
      </c>
      <c r="B36" s="98">
        <v>0</v>
      </c>
      <c r="C36" s="98">
        <v>2444.4</v>
      </c>
      <c r="D36" s="63" t="s">
        <v>116</v>
      </c>
      <c r="E36" s="62">
        <f t="shared" si="1"/>
        <v>2444.4</v>
      </c>
    </row>
    <row r="37" spans="1:5" ht="18.75">
      <c r="A37" s="67" t="s">
        <v>60</v>
      </c>
      <c r="B37" s="157">
        <f>SUM(B26:B35)</f>
        <v>205500</v>
      </c>
      <c r="C37" s="157">
        <f>SUM(C26:C36)</f>
        <v>275231.4</v>
      </c>
      <c r="D37" s="66" t="s">
        <v>116</v>
      </c>
      <c r="E37" s="62">
        <f t="shared" si="1"/>
        <v>69731.40000000002</v>
      </c>
    </row>
    <row r="38" spans="1:5" ht="18.75">
      <c r="A38" s="60" t="s">
        <v>130</v>
      </c>
      <c r="B38" s="98"/>
      <c r="C38" s="98"/>
      <c r="D38" s="63"/>
      <c r="E38" s="62">
        <f t="shared" si="1"/>
        <v>0</v>
      </c>
    </row>
    <row r="39" spans="1:5" ht="18.75">
      <c r="A39" s="61" t="s">
        <v>131</v>
      </c>
      <c r="B39" s="98">
        <v>175000</v>
      </c>
      <c r="C39" s="98">
        <v>85846.96</v>
      </c>
      <c r="D39" s="66" t="s">
        <v>118</v>
      </c>
      <c r="E39" s="62">
        <f t="shared" si="1"/>
        <v>-89153.04</v>
      </c>
    </row>
    <row r="40" spans="1:5" ht="18.75">
      <c r="A40" s="67" t="s">
        <v>60</v>
      </c>
      <c r="B40" s="157">
        <f>B39</f>
        <v>175000</v>
      </c>
      <c r="C40" s="157">
        <f>C39</f>
        <v>85846.96</v>
      </c>
      <c r="D40" s="66" t="s">
        <v>118</v>
      </c>
      <c r="E40" s="65">
        <f t="shared" si="1"/>
        <v>-89153.04</v>
      </c>
    </row>
    <row r="41" spans="1:5" ht="18.75">
      <c r="A41" s="60" t="s">
        <v>132</v>
      </c>
      <c r="B41" s="62"/>
      <c r="C41" s="98"/>
      <c r="D41" s="63"/>
      <c r="E41" s="62"/>
    </row>
    <row r="42" spans="1:5" ht="18.75">
      <c r="A42" s="61" t="s">
        <v>249</v>
      </c>
      <c r="B42" s="62">
        <v>0</v>
      </c>
      <c r="C42" s="98">
        <v>0</v>
      </c>
      <c r="D42" s="63" t="s">
        <v>116</v>
      </c>
      <c r="E42" s="62">
        <f aca="true" t="shared" si="2" ref="E42:E49">C42-B42</f>
        <v>0</v>
      </c>
    </row>
    <row r="43" spans="1:5" ht="18.75">
      <c r="A43" s="67" t="s">
        <v>60</v>
      </c>
      <c r="B43" s="65">
        <f>B42</f>
        <v>0</v>
      </c>
      <c r="C43" s="99">
        <f>C42</f>
        <v>0</v>
      </c>
      <c r="D43" s="66" t="s">
        <v>116</v>
      </c>
      <c r="E43" s="65">
        <f t="shared" si="2"/>
        <v>0</v>
      </c>
    </row>
    <row r="44" spans="1:5" ht="18.75">
      <c r="A44" s="202" t="s">
        <v>64</v>
      </c>
      <c r="B44" s="58" t="s">
        <v>106</v>
      </c>
      <c r="C44" s="203" t="s">
        <v>115</v>
      </c>
      <c r="D44" s="57" t="s">
        <v>116</v>
      </c>
      <c r="E44" s="202" t="s">
        <v>117</v>
      </c>
    </row>
    <row r="45" spans="1:5" ht="18.75">
      <c r="A45" s="202"/>
      <c r="B45" s="59" t="s">
        <v>110</v>
      </c>
      <c r="C45" s="203"/>
      <c r="D45" s="57" t="s">
        <v>118</v>
      </c>
      <c r="E45" s="202"/>
    </row>
    <row r="46" spans="1:5" ht="18.75">
      <c r="A46" s="60" t="s">
        <v>133</v>
      </c>
      <c r="B46" s="62"/>
      <c r="C46" s="98"/>
      <c r="D46" s="63"/>
      <c r="E46" s="62">
        <f t="shared" si="2"/>
        <v>0</v>
      </c>
    </row>
    <row r="47" spans="1:5" ht="18.75">
      <c r="A47" s="61" t="s">
        <v>134</v>
      </c>
      <c r="B47" s="98">
        <v>200000</v>
      </c>
      <c r="C47" s="98">
        <v>16100</v>
      </c>
      <c r="D47" s="63" t="s">
        <v>118</v>
      </c>
      <c r="E47" s="62">
        <f t="shared" si="2"/>
        <v>-183900</v>
      </c>
    </row>
    <row r="48" spans="1:5" ht="18.75">
      <c r="A48" s="61" t="s">
        <v>250</v>
      </c>
      <c r="B48" s="98">
        <v>5200</v>
      </c>
      <c r="C48" s="98">
        <v>2166</v>
      </c>
      <c r="D48" s="63" t="s">
        <v>118</v>
      </c>
      <c r="E48" s="62">
        <f t="shared" si="2"/>
        <v>-3034</v>
      </c>
    </row>
    <row r="49" spans="1:5" ht="18.75">
      <c r="A49" s="67" t="s">
        <v>60</v>
      </c>
      <c r="B49" s="157">
        <f>SUM(B47:B48)</f>
        <v>205200</v>
      </c>
      <c r="C49" s="157">
        <f>SUM(C47:C48)</f>
        <v>18266</v>
      </c>
      <c r="D49" s="66" t="s">
        <v>118</v>
      </c>
      <c r="E49" s="65">
        <f t="shared" si="2"/>
        <v>-186934</v>
      </c>
    </row>
    <row r="50" spans="1:5" ht="18.75">
      <c r="A50" s="68" t="s">
        <v>251</v>
      </c>
      <c r="B50" s="99"/>
      <c r="C50" s="99"/>
      <c r="D50" s="66"/>
      <c r="E50" s="65"/>
    </row>
    <row r="51" spans="1:5" ht="18.75">
      <c r="A51" s="61" t="s">
        <v>252</v>
      </c>
      <c r="B51" s="98">
        <v>500</v>
      </c>
      <c r="C51" s="98">
        <v>5100</v>
      </c>
      <c r="D51" s="63" t="s">
        <v>116</v>
      </c>
      <c r="E51" s="62">
        <f>C51-B51</f>
        <v>4600</v>
      </c>
    </row>
    <row r="52" spans="1:5" ht="18.75">
      <c r="A52" s="67" t="s">
        <v>60</v>
      </c>
      <c r="B52" s="157">
        <f>SUM(B51)</f>
        <v>500</v>
      </c>
      <c r="C52" s="157">
        <f>SUM(C51)</f>
        <v>5100</v>
      </c>
      <c r="D52" s="66"/>
      <c r="E52" s="65">
        <f>C52-B52</f>
        <v>4600</v>
      </c>
    </row>
    <row r="53" spans="1:5" ht="18.75">
      <c r="A53" s="60" t="s">
        <v>135</v>
      </c>
      <c r="B53" s="59"/>
      <c r="C53" s="107"/>
      <c r="D53" s="57"/>
      <c r="E53" s="57"/>
    </row>
    <row r="54" spans="1:5" ht="18.75">
      <c r="A54" s="60" t="s">
        <v>136</v>
      </c>
      <c r="B54" s="59"/>
      <c r="C54" s="107"/>
      <c r="D54" s="57"/>
      <c r="E54" s="57"/>
    </row>
    <row r="55" spans="1:5" ht="18.75">
      <c r="A55" s="61" t="s">
        <v>419</v>
      </c>
      <c r="B55" s="98">
        <v>24350000</v>
      </c>
      <c r="C55" s="98">
        <v>21658500</v>
      </c>
      <c r="D55" s="63" t="s">
        <v>118</v>
      </c>
      <c r="E55" s="62">
        <f>C55-B55</f>
        <v>-2691500</v>
      </c>
    </row>
    <row r="56" spans="1:5" ht="18.75">
      <c r="A56" s="61" t="s">
        <v>137</v>
      </c>
      <c r="B56" s="62">
        <v>0</v>
      </c>
      <c r="C56" s="108">
        <v>0</v>
      </c>
      <c r="D56" s="63"/>
      <c r="E56" s="62">
        <f>C56-B56</f>
        <v>0</v>
      </c>
    </row>
    <row r="57" spans="1:5" ht="18.75">
      <c r="A57" s="61" t="s">
        <v>289</v>
      </c>
      <c r="B57" s="62">
        <v>0</v>
      </c>
      <c r="C57" s="109">
        <v>0</v>
      </c>
      <c r="D57" s="63"/>
      <c r="E57" s="62">
        <f>C57-B57</f>
        <v>0</v>
      </c>
    </row>
    <row r="58" spans="1:5" ht="18.75">
      <c r="A58" s="67" t="s">
        <v>60</v>
      </c>
      <c r="B58" s="157">
        <f>B55</f>
        <v>24350000</v>
      </c>
      <c r="C58" s="157">
        <f>SUM(C55:C57)</f>
        <v>21658500</v>
      </c>
      <c r="D58" s="66" t="s">
        <v>118</v>
      </c>
      <c r="E58" s="65">
        <f>C58-B58</f>
        <v>-2691500</v>
      </c>
    </row>
    <row r="59" spans="1:5" ht="18.75">
      <c r="A59" s="67" t="s">
        <v>138</v>
      </c>
      <c r="B59" s="158">
        <f>B58+B52+B49+B43+B40+B37+B23</f>
        <v>42000000</v>
      </c>
      <c r="C59" s="158">
        <f>C58+C49+C43+C40+C37+C23+C52</f>
        <v>39735992.28999999</v>
      </c>
      <c r="D59" s="66" t="s">
        <v>118</v>
      </c>
      <c r="E59" s="65">
        <f>C59-B59</f>
        <v>-2264007.7100000083</v>
      </c>
    </row>
    <row r="60" spans="1:5" ht="18.75">
      <c r="A60" s="69"/>
      <c r="B60" s="70"/>
      <c r="C60" s="110"/>
      <c r="D60" s="71"/>
      <c r="E60" s="70"/>
    </row>
    <row r="61" spans="1:5" ht="18.75">
      <c r="A61" s="72"/>
      <c r="B61" s="73"/>
      <c r="C61" s="111"/>
      <c r="D61" s="74"/>
      <c r="E61" s="73"/>
    </row>
    <row r="62" spans="1:5" ht="18.75">
      <c r="A62" s="72"/>
      <c r="B62" s="73"/>
      <c r="C62" s="111"/>
      <c r="D62" s="74"/>
      <c r="E62" s="73"/>
    </row>
    <row r="63" spans="1:5" ht="18.75">
      <c r="A63" s="72"/>
      <c r="B63" s="73"/>
      <c r="C63" s="111"/>
      <c r="D63" s="74"/>
      <c r="E63" s="73"/>
    </row>
    <row r="64" spans="1:5" ht="18.75">
      <c r="A64" s="72"/>
      <c r="B64" s="73"/>
      <c r="C64" s="111"/>
      <c r="D64" s="74"/>
      <c r="E64" s="73"/>
    </row>
    <row r="65" spans="1:5" ht="18.75">
      <c r="A65" s="72"/>
      <c r="B65" s="73"/>
      <c r="C65" s="111"/>
      <c r="D65" s="74"/>
      <c r="E65" s="73"/>
    </row>
    <row r="66" spans="1:5" ht="18.75">
      <c r="A66" s="72"/>
      <c r="B66" s="73"/>
      <c r="C66" s="111"/>
      <c r="D66" s="74"/>
      <c r="E66" s="73"/>
    </row>
    <row r="67" spans="1:5" ht="18.75">
      <c r="A67" s="72"/>
      <c r="B67" s="73"/>
      <c r="C67" s="111"/>
      <c r="D67" s="74"/>
      <c r="E67" s="73"/>
    </row>
    <row r="68" spans="1:5" ht="18.75">
      <c r="A68" s="72"/>
      <c r="B68" s="73"/>
      <c r="C68" s="111"/>
      <c r="D68" s="74"/>
      <c r="E68" s="73"/>
    </row>
    <row r="69" spans="1:5" ht="18.75">
      <c r="A69" s="72"/>
      <c r="B69" s="73"/>
      <c r="C69" s="111"/>
      <c r="D69" s="74"/>
      <c r="E69" s="73"/>
    </row>
    <row r="70" spans="1:5" ht="18.75">
      <c r="A70" s="72"/>
      <c r="B70" s="73"/>
      <c r="C70" s="111"/>
      <c r="D70" s="74"/>
      <c r="E70" s="73"/>
    </row>
    <row r="71" spans="1:5" ht="18.75">
      <c r="A71" s="72"/>
      <c r="B71" s="73"/>
      <c r="C71" s="111"/>
      <c r="D71" s="74"/>
      <c r="E71" s="73"/>
    </row>
    <row r="72" spans="1:5" ht="18.75">
      <c r="A72" s="72"/>
      <c r="B72" s="73"/>
      <c r="C72" s="111"/>
      <c r="D72" s="74"/>
      <c r="E72" s="73"/>
    </row>
    <row r="73" spans="1:5" ht="18.75">
      <c r="A73" s="72"/>
      <c r="B73" s="73"/>
      <c r="C73" s="111"/>
      <c r="D73" s="74"/>
      <c r="E73" s="73"/>
    </row>
    <row r="74" spans="1:5" ht="18.75">
      <c r="A74" s="72"/>
      <c r="B74" s="73"/>
      <c r="C74" s="111"/>
      <c r="D74" s="74"/>
      <c r="E74" s="73"/>
    </row>
    <row r="75" spans="1:5" ht="18.75">
      <c r="A75" s="72"/>
      <c r="B75" s="73"/>
      <c r="C75" s="111"/>
      <c r="D75" s="74"/>
      <c r="E75" s="73"/>
    </row>
    <row r="76" spans="1:5" ht="18.75">
      <c r="A76" s="72"/>
      <c r="B76" s="73"/>
      <c r="C76" s="111"/>
      <c r="D76" s="74"/>
      <c r="E76" s="73"/>
    </row>
    <row r="77" spans="1:5" ht="18.75">
      <c r="A77" s="72"/>
      <c r="B77" s="73"/>
      <c r="C77" s="111"/>
      <c r="D77" s="74"/>
      <c r="E77" s="73"/>
    </row>
    <row r="78" spans="1:5" ht="18.75">
      <c r="A78" s="72"/>
      <c r="B78" s="73"/>
      <c r="C78" s="111"/>
      <c r="D78" s="74"/>
      <c r="E78" s="73"/>
    </row>
    <row r="79" spans="1:5" ht="18.75">
      <c r="A79" s="72"/>
      <c r="B79" s="73"/>
      <c r="C79" s="111"/>
      <c r="D79" s="74"/>
      <c r="E79" s="73"/>
    </row>
    <row r="80" spans="1:5" ht="18.75">
      <c r="A80" s="72"/>
      <c r="B80" s="73"/>
      <c r="C80" s="111"/>
      <c r="D80" s="74"/>
      <c r="E80" s="73"/>
    </row>
    <row r="81" spans="1:5" ht="18.75">
      <c r="A81" s="72"/>
      <c r="B81" s="73"/>
      <c r="C81" s="111"/>
      <c r="D81" s="74"/>
      <c r="E81" s="73"/>
    </row>
    <row r="82" spans="1:5" ht="18.75">
      <c r="A82" s="72"/>
      <c r="B82" s="73"/>
      <c r="C82" s="111"/>
      <c r="D82" s="74"/>
      <c r="E82" s="73"/>
    </row>
    <row r="83" spans="1:5" ht="18.75">
      <c r="A83" s="72"/>
      <c r="B83" s="73"/>
      <c r="C83" s="111"/>
      <c r="D83" s="74"/>
      <c r="E83" s="73"/>
    </row>
    <row r="84" spans="1:5" ht="18.75">
      <c r="A84" s="72"/>
      <c r="B84" s="73"/>
      <c r="C84" s="111"/>
      <c r="D84" s="74"/>
      <c r="E84" s="73"/>
    </row>
    <row r="85" spans="1:5" ht="18.75">
      <c r="A85" s="72"/>
      <c r="B85" s="73"/>
      <c r="C85" s="111"/>
      <c r="D85" s="74"/>
      <c r="E85" s="73"/>
    </row>
    <row r="86" spans="1:5" ht="18.75">
      <c r="A86" s="72"/>
      <c r="B86" s="73"/>
      <c r="C86" s="111"/>
      <c r="D86" s="74"/>
      <c r="E86" s="73"/>
    </row>
    <row r="87" spans="1:5" ht="18.75">
      <c r="A87" s="155" t="s">
        <v>108</v>
      </c>
      <c r="B87" s="75"/>
      <c r="C87" s="112"/>
      <c r="D87" s="76"/>
      <c r="E87" s="75"/>
    </row>
    <row r="88" spans="1:5" ht="18.75">
      <c r="A88" s="156" t="s">
        <v>139</v>
      </c>
      <c r="B88" s="77"/>
      <c r="C88" s="113"/>
      <c r="D88" s="78"/>
      <c r="E88" s="77"/>
    </row>
    <row r="89" spans="1:5" ht="18.75">
      <c r="A89" s="202" t="s">
        <v>64</v>
      </c>
      <c r="B89" s="79" t="s">
        <v>106</v>
      </c>
      <c r="C89" s="114" t="s">
        <v>140</v>
      </c>
      <c r="D89" s="66" t="s">
        <v>116</v>
      </c>
      <c r="E89" s="204" t="s">
        <v>117</v>
      </c>
    </row>
    <row r="90" spans="1:5" ht="18.75">
      <c r="A90" s="202"/>
      <c r="B90" s="80" t="s">
        <v>108</v>
      </c>
      <c r="C90" s="114"/>
      <c r="D90" s="66" t="s">
        <v>118</v>
      </c>
      <c r="E90" s="205"/>
    </row>
    <row r="91" spans="1:5" ht="18.75">
      <c r="A91" s="60" t="s">
        <v>141</v>
      </c>
      <c r="B91" s="62"/>
      <c r="C91" s="98"/>
      <c r="D91" s="63"/>
      <c r="E91" s="62"/>
    </row>
    <row r="92" spans="1:5" s="97" customFormat="1" ht="18.75">
      <c r="A92" s="105" t="s">
        <v>325</v>
      </c>
      <c r="B92" s="98">
        <v>138800</v>
      </c>
      <c r="C92" s="98">
        <v>122631</v>
      </c>
      <c r="D92" s="102" t="s">
        <v>124</v>
      </c>
      <c r="E92" s="98">
        <f aca="true" t="shared" si="3" ref="E92:E98">B92-C92</f>
        <v>16169</v>
      </c>
    </row>
    <row r="93" spans="1:8" s="97" customFormat="1" ht="18.75">
      <c r="A93" s="105" t="s">
        <v>326</v>
      </c>
      <c r="B93" s="98">
        <f>10372800+23300</f>
        <v>10396100</v>
      </c>
      <c r="C93" s="98">
        <v>10063400</v>
      </c>
      <c r="D93" s="102" t="s">
        <v>124</v>
      </c>
      <c r="E93" s="98">
        <f t="shared" si="3"/>
        <v>332700</v>
      </c>
      <c r="F93" s="180">
        <v>10403500</v>
      </c>
      <c r="G93" s="180">
        <v>10064800</v>
      </c>
      <c r="H93" s="180">
        <v>338700</v>
      </c>
    </row>
    <row r="94" spans="1:8" ht="18.75">
      <c r="A94" s="61" t="s">
        <v>327</v>
      </c>
      <c r="B94" s="98">
        <f>2428800+422400</f>
        <v>2851200</v>
      </c>
      <c r="C94" s="98">
        <v>2668800</v>
      </c>
      <c r="D94" s="102" t="s">
        <v>124</v>
      </c>
      <c r="E94" s="98">
        <f t="shared" si="3"/>
        <v>182400</v>
      </c>
      <c r="F94" s="118">
        <v>2860000</v>
      </c>
      <c r="G94" s="118">
        <v>2675200</v>
      </c>
      <c r="H94" s="118">
        <v>184800</v>
      </c>
    </row>
    <row r="95" spans="1:5" ht="18.75">
      <c r="A95" s="61" t="s">
        <v>328</v>
      </c>
      <c r="B95" s="98">
        <v>6000</v>
      </c>
      <c r="C95" s="98">
        <v>5000</v>
      </c>
      <c r="D95" s="102" t="s">
        <v>124</v>
      </c>
      <c r="E95" s="98">
        <f t="shared" si="3"/>
        <v>1000</v>
      </c>
    </row>
    <row r="96" spans="1:5" s="97" customFormat="1" ht="18.75">
      <c r="A96" s="105" t="s">
        <v>329</v>
      </c>
      <c r="B96" s="98">
        <f>502240+100000</f>
        <v>602240</v>
      </c>
      <c r="C96" s="98">
        <v>402950</v>
      </c>
      <c r="D96" s="102" t="s">
        <v>124</v>
      </c>
      <c r="E96" s="98">
        <f t="shared" si="3"/>
        <v>199290</v>
      </c>
    </row>
    <row r="97" spans="1:5" ht="18.75">
      <c r="A97" s="61" t="s">
        <v>330</v>
      </c>
      <c r="B97" s="98">
        <f>220000-100000</f>
        <v>120000</v>
      </c>
      <c r="C97" s="98">
        <v>120000</v>
      </c>
      <c r="D97" s="102" t="s">
        <v>124</v>
      </c>
      <c r="E97" s="98">
        <f t="shared" si="3"/>
        <v>0</v>
      </c>
    </row>
    <row r="98" spans="1:5" ht="18.75">
      <c r="A98" s="61" t="s">
        <v>331</v>
      </c>
      <c r="B98" s="98">
        <v>176500</v>
      </c>
      <c r="C98" s="98">
        <v>176500</v>
      </c>
      <c r="D98" s="102" t="s">
        <v>124</v>
      </c>
      <c r="E98" s="98">
        <f t="shared" si="3"/>
        <v>0</v>
      </c>
    </row>
    <row r="99" spans="1:7" ht="18.75">
      <c r="A99" s="67" t="s">
        <v>142</v>
      </c>
      <c r="B99" s="157">
        <f>SUM(B92:B98)</f>
        <v>14290840</v>
      </c>
      <c r="C99" s="157">
        <f>SUM(C92:C98)</f>
        <v>13559281</v>
      </c>
      <c r="D99" s="65">
        <f>SUM(D96:D98)</f>
        <v>0</v>
      </c>
      <c r="E99" s="65">
        <f>SUM(E92:E98)</f>
        <v>731559</v>
      </c>
      <c r="F99" s="116">
        <v>13550881</v>
      </c>
      <c r="G99" s="116">
        <v>16200</v>
      </c>
    </row>
    <row r="100" spans="1:5" ht="18.75">
      <c r="A100" s="67"/>
      <c r="B100" s="65"/>
      <c r="C100" s="99"/>
      <c r="D100" s="63"/>
      <c r="E100" s="65"/>
    </row>
    <row r="101" spans="1:5" ht="18.75">
      <c r="A101" s="60" t="s">
        <v>143</v>
      </c>
      <c r="B101" s="62"/>
      <c r="C101" s="98"/>
      <c r="D101" s="63"/>
      <c r="E101" s="62">
        <f aca="true" t="shared" si="4" ref="E101:E106">B101-C101</f>
        <v>0</v>
      </c>
    </row>
    <row r="102" spans="1:5" ht="18.75">
      <c r="A102" s="61" t="s">
        <v>332</v>
      </c>
      <c r="B102" s="98">
        <v>514080</v>
      </c>
      <c r="C102" s="98">
        <v>514080</v>
      </c>
      <c r="D102" s="63" t="s">
        <v>118</v>
      </c>
      <c r="E102" s="62">
        <f t="shared" si="4"/>
        <v>0</v>
      </c>
    </row>
    <row r="103" spans="1:5" ht="18.75">
      <c r="A103" s="61" t="s">
        <v>333</v>
      </c>
      <c r="B103" s="98">
        <v>42120</v>
      </c>
      <c r="C103" s="98">
        <v>42120</v>
      </c>
      <c r="D103" s="63" t="s">
        <v>118</v>
      </c>
      <c r="E103" s="62">
        <f t="shared" si="4"/>
        <v>0</v>
      </c>
    </row>
    <row r="104" spans="1:5" ht="18.75">
      <c r="A104" s="61" t="s">
        <v>334</v>
      </c>
      <c r="B104" s="98">
        <v>42120</v>
      </c>
      <c r="C104" s="98">
        <v>42120</v>
      </c>
      <c r="D104" s="63" t="s">
        <v>118</v>
      </c>
      <c r="E104" s="62">
        <f t="shared" si="4"/>
        <v>0</v>
      </c>
    </row>
    <row r="105" spans="1:5" ht="18.75">
      <c r="A105" s="61" t="s">
        <v>335</v>
      </c>
      <c r="B105" s="98">
        <v>86400</v>
      </c>
      <c r="C105" s="98">
        <v>86400</v>
      </c>
      <c r="D105" s="63" t="s">
        <v>118</v>
      </c>
      <c r="E105" s="62">
        <f t="shared" si="4"/>
        <v>0</v>
      </c>
    </row>
    <row r="106" spans="1:5" ht="18.75">
      <c r="A106" s="61" t="s">
        <v>336</v>
      </c>
      <c r="B106" s="98">
        <v>3096000</v>
      </c>
      <c r="C106" s="98">
        <v>2884560</v>
      </c>
      <c r="D106" s="63" t="s">
        <v>118</v>
      </c>
      <c r="E106" s="62">
        <f t="shared" si="4"/>
        <v>211440</v>
      </c>
    </row>
    <row r="107" spans="1:5" ht="18.75">
      <c r="A107" s="67" t="s">
        <v>144</v>
      </c>
      <c r="B107" s="157">
        <f>SUM(B102:B106)</f>
        <v>3780720</v>
      </c>
      <c r="C107" s="157">
        <f>SUM(C102:C106)</f>
        <v>3569280</v>
      </c>
      <c r="D107" s="66" t="s">
        <v>118</v>
      </c>
      <c r="E107" s="65">
        <f>SUM(E102:E106)</f>
        <v>211440</v>
      </c>
    </row>
    <row r="108" spans="1:5" ht="18.75">
      <c r="A108" s="67"/>
      <c r="B108" s="65"/>
      <c r="C108" s="99"/>
      <c r="D108" s="66"/>
      <c r="E108" s="65"/>
    </row>
    <row r="109" spans="1:5" ht="18.75">
      <c r="A109" s="68" t="s">
        <v>145</v>
      </c>
      <c r="B109" s="65"/>
      <c r="C109" s="99"/>
      <c r="D109" s="66"/>
      <c r="E109" s="65"/>
    </row>
    <row r="110" spans="1:5" ht="18.75">
      <c r="A110" s="61" t="s">
        <v>296</v>
      </c>
      <c r="B110" s="98">
        <f>7406150-30000-5000-10000-11000+11000-10000+42000</f>
        <v>7393150</v>
      </c>
      <c r="C110" s="98">
        <f>5344578+42311</f>
        <v>5386889</v>
      </c>
      <c r="D110" s="63" t="s">
        <v>118</v>
      </c>
      <c r="E110" s="62">
        <f>B110-C110</f>
        <v>2006261</v>
      </c>
    </row>
    <row r="111" spans="1:5" ht="18.75">
      <c r="A111" s="61" t="s">
        <v>337</v>
      </c>
      <c r="B111" s="98">
        <f>84000</f>
        <v>84000</v>
      </c>
      <c r="C111" s="98">
        <v>84000</v>
      </c>
      <c r="D111" s="63"/>
      <c r="E111" s="62">
        <f>B111-C111</f>
        <v>0</v>
      </c>
    </row>
    <row r="112" spans="1:5" ht="18.75">
      <c r="A112" s="61" t="s">
        <v>338</v>
      </c>
      <c r="B112" s="98">
        <f>168000+42000+42000+42000+42000+42000+42000</f>
        <v>420000</v>
      </c>
      <c r="C112" s="98">
        <v>276500</v>
      </c>
      <c r="D112" s="63" t="s">
        <v>118</v>
      </c>
      <c r="E112" s="62">
        <f>B112-C112</f>
        <v>143500</v>
      </c>
    </row>
    <row r="113" spans="1:5" ht="18.75">
      <c r="A113" s="61" t="s">
        <v>340</v>
      </c>
      <c r="B113" s="98">
        <f>603500+288800+180850+338400+180850+325400+418050+137200-50000-6000+43500</f>
        <v>2460550</v>
      </c>
      <c r="C113" s="98">
        <f>2242826</f>
        <v>2242826</v>
      </c>
      <c r="D113" s="63" t="s">
        <v>118</v>
      </c>
      <c r="E113" s="62">
        <f>B113-C113</f>
        <v>217724</v>
      </c>
    </row>
    <row r="114" spans="1:5" ht="18.75">
      <c r="A114" s="61" t="s">
        <v>339</v>
      </c>
      <c r="B114" s="98">
        <f>36000+24000+156000+15000+61000+24000+6000+5000-43500-42000</f>
        <v>241500</v>
      </c>
      <c r="C114" s="98">
        <v>208960</v>
      </c>
      <c r="D114" s="63" t="s">
        <v>118</v>
      </c>
      <c r="E114" s="62">
        <f>B114-C114</f>
        <v>32540</v>
      </c>
    </row>
    <row r="115" spans="1:7" ht="18.75">
      <c r="A115" s="67" t="s">
        <v>146</v>
      </c>
      <c r="B115" s="157">
        <f>SUM(B110:B114)</f>
        <v>10599200</v>
      </c>
      <c r="C115" s="157">
        <f>SUM(C110:C114)</f>
        <v>8199175</v>
      </c>
      <c r="D115" s="66" t="s">
        <v>118</v>
      </c>
      <c r="E115" s="65">
        <f>SUM(E110:E114)</f>
        <v>2400025</v>
      </c>
      <c r="F115" s="116"/>
      <c r="G115" s="116"/>
    </row>
    <row r="116" spans="1:5" ht="18.75">
      <c r="A116" s="67"/>
      <c r="B116" s="65"/>
      <c r="C116" s="99"/>
      <c r="D116" s="66"/>
      <c r="E116" s="65"/>
    </row>
    <row r="117" spans="1:5" ht="18.75">
      <c r="A117" s="60" t="s">
        <v>147</v>
      </c>
      <c r="B117" s="62"/>
      <c r="C117" s="98"/>
      <c r="D117" s="63"/>
      <c r="E117" s="62">
        <f aca="true" t="shared" si="5" ref="E117:E124">B117-C117</f>
        <v>0</v>
      </c>
    </row>
    <row r="118" spans="1:5" ht="18.75">
      <c r="A118" s="60" t="s">
        <v>148</v>
      </c>
      <c r="B118" s="62"/>
      <c r="C118" s="98"/>
      <c r="D118" s="63"/>
      <c r="E118" s="62">
        <f t="shared" si="5"/>
        <v>0</v>
      </c>
    </row>
    <row r="119" spans="1:5" ht="18.75">
      <c r="A119" s="61" t="s">
        <v>149</v>
      </c>
      <c r="B119" s="98">
        <f>369000-10800-5900-113300-70000-45000-31400+10000+38000</f>
        <v>140600</v>
      </c>
      <c r="C119" s="98">
        <f>6100+25800</f>
        <v>31900</v>
      </c>
      <c r="D119" s="63" t="s">
        <v>118</v>
      </c>
      <c r="E119" s="62">
        <f t="shared" si="5"/>
        <v>108700</v>
      </c>
    </row>
    <row r="120" spans="1:5" ht="18.75">
      <c r="A120" s="61" t="s">
        <v>150</v>
      </c>
      <c r="B120" s="98">
        <f>10000+10000+10000+5000+5000+10000+10000+2000-10000-10000-8000-2000</f>
        <v>32000</v>
      </c>
      <c r="C120" s="98">
        <f>0</f>
        <v>0</v>
      </c>
      <c r="D120" s="63" t="s">
        <v>118</v>
      </c>
      <c r="E120" s="62">
        <f t="shared" si="5"/>
        <v>32000</v>
      </c>
    </row>
    <row r="121" spans="1:5" ht="18.75">
      <c r="A121" s="61" t="s">
        <v>151</v>
      </c>
      <c r="B121" s="98">
        <f>273000-12600+12600-5000+5000-5000+2000</f>
        <v>270000</v>
      </c>
      <c r="C121" s="98">
        <f>66600+132100+36000+2655</f>
        <v>237355</v>
      </c>
      <c r="D121" s="63" t="s">
        <v>118</v>
      </c>
      <c r="E121" s="62">
        <f t="shared" si="5"/>
        <v>32645</v>
      </c>
    </row>
    <row r="122" spans="1:5" ht="18.75">
      <c r="A122" s="61" t="s">
        <v>152</v>
      </c>
      <c r="B122" s="98">
        <f>40000-5000</f>
        <v>35000</v>
      </c>
      <c r="C122" s="98">
        <f>4200</f>
        <v>4200</v>
      </c>
      <c r="D122" s="63" t="s">
        <v>118</v>
      </c>
      <c r="E122" s="62">
        <f t="shared" si="5"/>
        <v>30800</v>
      </c>
    </row>
    <row r="123" spans="1:5" ht="18.75">
      <c r="A123" s="61" t="s">
        <v>253</v>
      </c>
      <c r="B123" s="98">
        <f>10000-10000</f>
        <v>0</v>
      </c>
      <c r="C123" s="98">
        <v>0</v>
      </c>
      <c r="D123" s="63" t="s">
        <v>118</v>
      </c>
      <c r="E123" s="62">
        <f t="shared" si="5"/>
        <v>0</v>
      </c>
    </row>
    <row r="124" spans="1:5" ht="18.75">
      <c r="A124" s="67" t="s">
        <v>153</v>
      </c>
      <c r="B124" s="157">
        <f>SUM(B119:B123)</f>
        <v>477600</v>
      </c>
      <c r="C124" s="157">
        <f>SUM(C119:C123)</f>
        <v>273455</v>
      </c>
      <c r="D124" s="66" t="s">
        <v>118</v>
      </c>
      <c r="E124" s="65">
        <f t="shared" si="5"/>
        <v>204145</v>
      </c>
    </row>
    <row r="125" spans="1:5" ht="18.75">
      <c r="A125" s="67"/>
      <c r="B125" s="65"/>
      <c r="C125" s="99"/>
      <c r="D125" s="66"/>
      <c r="E125" s="65"/>
    </row>
    <row r="126" spans="1:5" ht="18.75">
      <c r="A126" s="60" t="s">
        <v>154</v>
      </c>
      <c r="B126" s="62"/>
      <c r="C126" s="98"/>
      <c r="D126" s="63"/>
      <c r="E126" s="62"/>
    </row>
    <row r="127" spans="1:5" ht="18.75">
      <c r="A127" s="105" t="s">
        <v>155</v>
      </c>
      <c r="B127" s="98">
        <f>1568000+50000-8000-23300-31000-10000+20000+10000</f>
        <v>1575700</v>
      </c>
      <c r="C127" s="98">
        <f>395089.6+300631+239840+16000+286500+4000+5700+86810</f>
        <v>1334570.6</v>
      </c>
      <c r="D127" s="63" t="s">
        <v>118</v>
      </c>
      <c r="E127" s="62">
        <f aca="true" t="shared" si="6" ref="E127:E174">B127-C127</f>
        <v>241129.3999999999</v>
      </c>
    </row>
    <row r="128" spans="1:5" ht="18.75">
      <c r="A128" s="187" t="s">
        <v>156</v>
      </c>
      <c r="B128" s="62">
        <v>0</v>
      </c>
      <c r="C128" s="98">
        <v>0</v>
      </c>
      <c r="D128" s="63" t="s">
        <v>118</v>
      </c>
      <c r="E128" s="62">
        <f t="shared" si="6"/>
        <v>0</v>
      </c>
    </row>
    <row r="129" spans="1:5" s="97" customFormat="1" ht="18.75">
      <c r="A129" s="105" t="s">
        <v>256</v>
      </c>
      <c r="B129" s="98">
        <v>10000</v>
      </c>
      <c r="C129" s="98"/>
      <c r="D129" s="102" t="s">
        <v>118</v>
      </c>
      <c r="E129" s="98">
        <f t="shared" si="6"/>
        <v>10000</v>
      </c>
    </row>
    <row r="130" spans="1:5" ht="18.75">
      <c r="A130" s="202" t="s">
        <v>64</v>
      </c>
      <c r="B130" s="79" t="s">
        <v>106</v>
      </c>
      <c r="C130" s="114" t="s">
        <v>140</v>
      </c>
      <c r="D130" s="66" t="s">
        <v>116</v>
      </c>
      <c r="E130" s="204" t="s">
        <v>117</v>
      </c>
    </row>
    <row r="131" spans="1:5" ht="18.75">
      <c r="A131" s="202"/>
      <c r="B131" s="80" t="s">
        <v>108</v>
      </c>
      <c r="C131" s="114"/>
      <c r="D131" s="66" t="s">
        <v>118</v>
      </c>
      <c r="E131" s="205"/>
    </row>
    <row r="132" spans="1:5" s="97" customFormat="1" ht="18.75">
      <c r="A132" s="105" t="s">
        <v>257</v>
      </c>
      <c r="B132" s="98">
        <v>20000</v>
      </c>
      <c r="C132" s="98">
        <v>20000</v>
      </c>
      <c r="D132" s="102" t="s">
        <v>118</v>
      </c>
      <c r="E132" s="98">
        <f t="shared" si="6"/>
        <v>0</v>
      </c>
    </row>
    <row r="133" spans="1:5" s="97" customFormat="1" ht="18.75">
      <c r="A133" s="105" t="s">
        <v>258</v>
      </c>
      <c r="B133" s="98">
        <v>40000</v>
      </c>
      <c r="C133" s="98">
        <v>40000</v>
      </c>
      <c r="D133" s="102" t="s">
        <v>118</v>
      </c>
      <c r="E133" s="98">
        <f t="shared" si="6"/>
        <v>0</v>
      </c>
    </row>
    <row r="134" spans="1:5" s="97" customFormat="1" ht="18.75">
      <c r="A134" s="101" t="s">
        <v>259</v>
      </c>
      <c r="B134" s="98">
        <f>20000-20000</f>
        <v>0</v>
      </c>
      <c r="C134" s="98"/>
      <c r="D134" s="102" t="s">
        <v>118</v>
      </c>
      <c r="E134" s="98">
        <f t="shared" si="6"/>
        <v>0</v>
      </c>
    </row>
    <row r="135" spans="1:5" s="97" customFormat="1" ht="18.75">
      <c r="A135" s="101" t="s">
        <v>260</v>
      </c>
      <c r="B135" s="98">
        <v>200000</v>
      </c>
      <c r="C135" s="98">
        <v>64703.82</v>
      </c>
      <c r="D135" s="102"/>
      <c r="E135" s="98">
        <f t="shared" si="6"/>
        <v>135296.18</v>
      </c>
    </row>
    <row r="136" spans="1:5" s="97" customFormat="1" ht="18.75">
      <c r="A136" s="101" t="s">
        <v>396</v>
      </c>
      <c r="B136" s="98">
        <v>30000</v>
      </c>
      <c r="C136" s="98">
        <v>30000</v>
      </c>
      <c r="D136" s="102" t="s">
        <v>118</v>
      </c>
      <c r="E136" s="98">
        <f t="shared" si="6"/>
        <v>0</v>
      </c>
    </row>
    <row r="137" spans="1:5" s="97" customFormat="1" ht="18.75">
      <c r="A137" s="101" t="s">
        <v>341</v>
      </c>
      <c r="B137" s="98">
        <v>20000</v>
      </c>
      <c r="C137" s="98">
        <v>660</v>
      </c>
      <c r="D137" s="102" t="s">
        <v>118</v>
      </c>
      <c r="E137" s="98">
        <f t="shared" si="6"/>
        <v>19340</v>
      </c>
    </row>
    <row r="138" spans="1:5" s="97" customFormat="1" ht="18.75">
      <c r="A138" s="101" t="s">
        <v>261</v>
      </c>
      <c r="B138" s="98">
        <v>10000</v>
      </c>
      <c r="C138" s="98"/>
      <c r="D138" s="102" t="s">
        <v>118</v>
      </c>
      <c r="E138" s="98">
        <f t="shared" si="6"/>
        <v>10000</v>
      </c>
    </row>
    <row r="139" spans="1:6" s="97" customFormat="1" ht="18.75">
      <c r="A139" s="101" t="s">
        <v>262</v>
      </c>
      <c r="B139" s="98">
        <v>50000</v>
      </c>
      <c r="C139" s="98">
        <v>34050</v>
      </c>
      <c r="D139" s="102" t="s">
        <v>118</v>
      </c>
      <c r="E139" s="98">
        <f t="shared" si="6"/>
        <v>15950</v>
      </c>
      <c r="F139" s="106"/>
    </row>
    <row r="140" spans="1:5" s="97" customFormat="1" ht="18.75">
      <c r="A140" s="101" t="s">
        <v>264</v>
      </c>
      <c r="B140" s="98">
        <v>20000</v>
      </c>
      <c r="C140" s="98">
        <v>300</v>
      </c>
      <c r="D140" s="102" t="s">
        <v>118</v>
      </c>
      <c r="E140" s="98">
        <f t="shared" si="6"/>
        <v>19700</v>
      </c>
    </row>
    <row r="141" spans="1:5" s="97" customFormat="1" ht="18.75">
      <c r="A141" s="101" t="s">
        <v>263</v>
      </c>
      <c r="B141" s="98">
        <v>10000</v>
      </c>
      <c r="C141" s="98"/>
      <c r="D141" s="102" t="s">
        <v>118</v>
      </c>
      <c r="E141" s="98">
        <f t="shared" si="6"/>
        <v>10000</v>
      </c>
    </row>
    <row r="142" spans="1:5" s="97" customFormat="1" ht="18.75">
      <c r="A142" s="101" t="s">
        <v>265</v>
      </c>
      <c r="B142" s="98">
        <v>50000</v>
      </c>
      <c r="C142" s="98">
        <v>43308.2</v>
      </c>
      <c r="D142" s="102" t="s">
        <v>118</v>
      </c>
      <c r="E142" s="98">
        <f t="shared" si="6"/>
        <v>6691.800000000003</v>
      </c>
    </row>
    <row r="143" spans="1:5" s="97" customFormat="1" ht="18.75">
      <c r="A143" s="101" t="s">
        <v>342</v>
      </c>
      <c r="B143" s="98">
        <v>50000</v>
      </c>
      <c r="C143" s="98"/>
      <c r="D143" s="102" t="s">
        <v>118</v>
      </c>
      <c r="E143" s="98">
        <f t="shared" si="6"/>
        <v>50000</v>
      </c>
    </row>
    <row r="144" spans="1:5" s="97" customFormat="1" ht="18.75">
      <c r="A144" s="104" t="s">
        <v>266</v>
      </c>
      <c r="B144" s="98">
        <f>50000-10000</f>
        <v>40000</v>
      </c>
      <c r="C144" s="98"/>
      <c r="D144" s="102" t="s">
        <v>118</v>
      </c>
      <c r="E144" s="98">
        <f t="shared" si="6"/>
        <v>40000</v>
      </c>
    </row>
    <row r="145" spans="1:5" s="97" customFormat="1" ht="18.75">
      <c r="A145" s="104" t="s">
        <v>267</v>
      </c>
      <c r="B145" s="98">
        <v>70000</v>
      </c>
      <c r="C145" s="98">
        <v>18810</v>
      </c>
      <c r="D145" s="102" t="s">
        <v>118</v>
      </c>
      <c r="E145" s="98">
        <f t="shared" si="6"/>
        <v>51190</v>
      </c>
    </row>
    <row r="146" spans="1:5" s="97" customFormat="1" ht="18.75">
      <c r="A146" s="104" t="s">
        <v>268</v>
      </c>
      <c r="B146" s="98">
        <v>30000</v>
      </c>
      <c r="C146" s="98">
        <v>16230</v>
      </c>
      <c r="D146" s="102" t="s">
        <v>118</v>
      </c>
      <c r="E146" s="98">
        <f t="shared" si="6"/>
        <v>13770</v>
      </c>
    </row>
    <row r="147" spans="1:5" s="97" customFormat="1" ht="18.75">
      <c r="A147" s="101" t="s">
        <v>274</v>
      </c>
      <c r="B147" s="98">
        <v>80000</v>
      </c>
      <c r="C147" s="98">
        <v>78231.4</v>
      </c>
      <c r="D147" s="102"/>
      <c r="E147" s="98">
        <f t="shared" si="6"/>
        <v>1768.6000000000058</v>
      </c>
    </row>
    <row r="148" spans="1:5" s="97" customFormat="1" ht="18.75">
      <c r="A148" s="101" t="s">
        <v>275</v>
      </c>
      <c r="B148" s="98">
        <v>10000</v>
      </c>
      <c r="C148" s="98">
        <v>4150</v>
      </c>
      <c r="D148" s="102"/>
      <c r="E148" s="98">
        <f t="shared" si="6"/>
        <v>5850</v>
      </c>
    </row>
    <row r="149" spans="1:5" s="97" customFormat="1" ht="18.75">
      <c r="A149" s="101" t="s">
        <v>276</v>
      </c>
      <c r="B149" s="98">
        <f>50000-15000-20000</f>
        <v>15000</v>
      </c>
      <c r="C149" s="98">
        <v>0</v>
      </c>
      <c r="D149" s="102"/>
      <c r="E149" s="98">
        <f t="shared" si="6"/>
        <v>15000</v>
      </c>
    </row>
    <row r="150" spans="1:5" ht="18.75">
      <c r="A150" s="101" t="s">
        <v>362</v>
      </c>
      <c r="B150" s="98">
        <f>30000-20000</f>
        <v>10000</v>
      </c>
      <c r="C150" s="98">
        <v>0</v>
      </c>
      <c r="D150" s="102"/>
      <c r="E150" s="98">
        <f>B150-C150</f>
        <v>10000</v>
      </c>
    </row>
    <row r="151" spans="1:5" s="97" customFormat="1" ht="18.75">
      <c r="A151" s="104" t="s">
        <v>273</v>
      </c>
      <c r="B151" s="98">
        <v>50000</v>
      </c>
      <c r="C151" s="98">
        <v>43910</v>
      </c>
      <c r="D151" s="102"/>
      <c r="E151" s="98">
        <f t="shared" si="6"/>
        <v>6090</v>
      </c>
    </row>
    <row r="152" spans="1:5" ht="18.75">
      <c r="A152" s="103" t="s">
        <v>277</v>
      </c>
      <c r="B152" s="98">
        <f>100000-18000-30000-52000</f>
        <v>0</v>
      </c>
      <c r="C152" s="98"/>
      <c r="D152" s="102"/>
      <c r="E152" s="98">
        <f t="shared" si="6"/>
        <v>0</v>
      </c>
    </row>
    <row r="153" spans="1:5" ht="18.75">
      <c r="A153" s="103" t="s">
        <v>278</v>
      </c>
      <c r="B153" s="98">
        <v>50000</v>
      </c>
      <c r="C153" s="98"/>
      <c r="D153" s="102"/>
      <c r="E153" s="98">
        <f t="shared" si="6"/>
        <v>50000</v>
      </c>
    </row>
    <row r="154" spans="1:5" ht="18.75">
      <c r="A154" s="104" t="s">
        <v>343</v>
      </c>
      <c r="B154" s="98">
        <f>20000+30000-39000</f>
        <v>11000</v>
      </c>
      <c r="C154" s="98">
        <v>48438</v>
      </c>
      <c r="D154" s="102"/>
      <c r="E154" s="98">
        <f t="shared" si="6"/>
        <v>-37438</v>
      </c>
    </row>
    <row r="155" spans="1:5" ht="18.75">
      <c r="A155" s="103" t="s">
        <v>344</v>
      </c>
      <c r="B155" s="98">
        <f>30000-9000</f>
        <v>21000</v>
      </c>
      <c r="C155" s="98">
        <v>20355</v>
      </c>
      <c r="D155" s="102"/>
      <c r="E155" s="98">
        <f t="shared" si="6"/>
        <v>645</v>
      </c>
    </row>
    <row r="156" spans="1:5" s="97" customFormat="1" ht="18.75">
      <c r="A156" s="104" t="s">
        <v>345</v>
      </c>
      <c r="B156" s="98">
        <v>100000</v>
      </c>
      <c r="C156" s="98">
        <v>90851</v>
      </c>
      <c r="D156" s="102"/>
      <c r="E156" s="98">
        <f t="shared" si="6"/>
        <v>9149</v>
      </c>
    </row>
    <row r="157" spans="1:5" s="97" customFormat="1" ht="18.75">
      <c r="A157" s="103" t="s">
        <v>269</v>
      </c>
      <c r="B157" s="98">
        <v>30000</v>
      </c>
      <c r="C157" s="98">
        <v>0</v>
      </c>
      <c r="D157" s="102"/>
      <c r="E157" s="98">
        <f t="shared" si="6"/>
        <v>30000</v>
      </c>
    </row>
    <row r="158" spans="1:5" s="97" customFormat="1" ht="18.75">
      <c r="A158" s="103" t="s">
        <v>270</v>
      </c>
      <c r="B158" s="98">
        <f>60000-60000</f>
        <v>0</v>
      </c>
      <c r="C158" s="98"/>
      <c r="D158" s="102"/>
      <c r="E158" s="98">
        <f t="shared" si="6"/>
        <v>0</v>
      </c>
    </row>
    <row r="159" spans="1:5" s="97" customFormat="1" ht="18.75">
      <c r="A159" s="103" t="s">
        <v>271</v>
      </c>
      <c r="B159" s="98">
        <f>60000-41400</f>
        <v>18600</v>
      </c>
      <c r="C159" s="98">
        <v>11530</v>
      </c>
      <c r="D159" s="102"/>
      <c r="E159" s="98">
        <f t="shared" si="6"/>
        <v>7070</v>
      </c>
    </row>
    <row r="160" spans="1:5" s="97" customFormat="1" ht="18.75">
      <c r="A160" s="103" t="s">
        <v>272</v>
      </c>
      <c r="B160" s="98">
        <f>60000-60000</f>
        <v>0</v>
      </c>
      <c r="C160" s="98"/>
      <c r="D160" s="102"/>
      <c r="E160" s="98">
        <f t="shared" si="6"/>
        <v>0</v>
      </c>
    </row>
    <row r="161" spans="1:5" s="97" customFormat="1" ht="18.75">
      <c r="A161" s="103" t="s">
        <v>346</v>
      </c>
      <c r="B161" s="98">
        <f>200000-200000</f>
        <v>0</v>
      </c>
      <c r="C161" s="98"/>
      <c r="D161" s="102"/>
      <c r="E161" s="98">
        <f t="shared" si="6"/>
        <v>0</v>
      </c>
    </row>
    <row r="162" spans="1:5" s="97" customFormat="1" ht="18.75">
      <c r="A162" s="104" t="s">
        <v>279</v>
      </c>
      <c r="B162" s="98">
        <v>50000</v>
      </c>
      <c r="C162" s="98">
        <v>300</v>
      </c>
      <c r="D162" s="102"/>
      <c r="E162" s="98">
        <f t="shared" si="6"/>
        <v>49700</v>
      </c>
    </row>
    <row r="163" spans="1:5" s="97" customFormat="1" ht="18.75">
      <c r="A163" s="104" t="s">
        <v>347</v>
      </c>
      <c r="B163" s="98">
        <v>30000</v>
      </c>
      <c r="C163" s="98"/>
      <c r="D163" s="102"/>
      <c r="E163" s="98">
        <f t="shared" si="6"/>
        <v>30000</v>
      </c>
    </row>
    <row r="164" spans="1:5" s="97" customFormat="1" ht="18.75">
      <c r="A164" s="105" t="s">
        <v>157</v>
      </c>
      <c r="B164" s="98"/>
      <c r="C164" s="98"/>
      <c r="D164" s="102"/>
      <c r="E164" s="98"/>
    </row>
    <row r="165" spans="1:5" ht="18.75">
      <c r="A165" s="81" t="s">
        <v>348</v>
      </c>
      <c r="B165" s="98">
        <f>210000+30000</f>
        <v>240000</v>
      </c>
      <c r="C165" s="98">
        <f>48176+45000+6488+2698+21476</f>
        <v>123838</v>
      </c>
      <c r="D165" s="63"/>
      <c r="E165" s="62">
        <f aca="true" t="shared" si="7" ref="E165:E173">B165-C165</f>
        <v>116162</v>
      </c>
    </row>
    <row r="166" spans="1:5" s="97" customFormat="1" ht="18.75">
      <c r="A166" s="81" t="s">
        <v>349</v>
      </c>
      <c r="B166" s="98">
        <f>20000+10000+15000</f>
        <v>45000</v>
      </c>
      <c r="C166" s="98">
        <f>43590</f>
        <v>43590</v>
      </c>
      <c r="D166" s="63"/>
      <c r="E166" s="62">
        <f t="shared" si="7"/>
        <v>1410</v>
      </c>
    </row>
    <row r="167" spans="1:5" s="97" customFormat="1" ht="18.75">
      <c r="A167" s="81" t="s">
        <v>350</v>
      </c>
      <c r="B167" s="98">
        <f>10000+10000</f>
        <v>20000</v>
      </c>
      <c r="C167" s="98">
        <f>18900</f>
        <v>18900</v>
      </c>
      <c r="D167" s="63"/>
      <c r="E167" s="62">
        <f t="shared" si="7"/>
        <v>1100</v>
      </c>
    </row>
    <row r="168" spans="1:5" s="97" customFormat="1" ht="18.75">
      <c r="A168" s="81" t="s">
        <v>352</v>
      </c>
      <c r="B168" s="98">
        <v>5000</v>
      </c>
      <c r="C168" s="98">
        <v>0</v>
      </c>
      <c r="D168" s="63"/>
      <c r="E168" s="62">
        <f t="shared" si="7"/>
        <v>5000</v>
      </c>
    </row>
    <row r="169" spans="1:5" s="97" customFormat="1" ht="18.75">
      <c r="A169" s="81" t="s">
        <v>353</v>
      </c>
      <c r="B169" s="98">
        <v>400000</v>
      </c>
      <c r="C169" s="98">
        <v>400000</v>
      </c>
      <c r="D169" s="63"/>
      <c r="E169" s="62">
        <f t="shared" si="7"/>
        <v>0</v>
      </c>
    </row>
    <row r="170" spans="1:5" ht="18.75">
      <c r="A170" s="61" t="s">
        <v>254</v>
      </c>
      <c r="B170" s="98">
        <v>661500</v>
      </c>
      <c r="C170" s="98">
        <v>661500</v>
      </c>
      <c r="D170" s="63"/>
      <c r="E170" s="62">
        <f t="shared" si="7"/>
        <v>0</v>
      </c>
    </row>
    <row r="171" spans="1:5" ht="18.75">
      <c r="A171" s="61" t="s">
        <v>255</v>
      </c>
      <c r="B171" s="98">
        <v>14000</v>
      </c>
      <c r="C171" s="98">
        <v>0</v>
      </c>
      <c r="D171" s="63"/>
      <c r="E171" s="62">
        <f t="shared" si="7"/>
        <v>14000</v>
      </c>
    </row>
    <row r="172" spans="1:5" ht="18.75">
      <c r="A172" s="61" t="s">
        <v>354</v>
      </c>
      <c r="B172" s="98">
        <v>229500</v>
      </c>
      <c r="C172" s="98">
        <v>229500</v>
      </c>
      <c r="D172" s="63"/>
      <c r="E172" s="62">
        <f t="shared" si="7"/>
        <v>0</v>
      </c>
    </row>
    <row r="173" spans="1:5" s="97" customFormat="1" ht="18.75">
      <c r="A173" s="81" t="s">
        <v>351</v>
      </c>
      <c r="B173" s="98">
        <f>620000-107000+200000-10000+10000-80000-20000+20000-40000</f>
        <v>593000</v>
      </c>
      <c r="C173" s="98">
        <f>110820+9400+1750+166200+2300+2050</f>
        <v>292520</v>
      </c>
      <c r="D173" s="63"/>
      <c r="E173" s="62">
        <f t="shared" si="7"/>
        <v>300480</v>
      </c>
    </row>
    <row r="174" spans="1:7" ht="18.75">
      <c r="A174" s="67" t="s">
        <v>158</v>
      </c>
      <c r="B174" s="157">
        <f>SUM(B127:B173)</f>
        <v>4909300</v>
      </c>
      <c r="C174" s="157">
        <f>SUM(C127:C173)</f>
        <v>3670246.02</v>
      </c>
      <c r="D174" s="63" t="s">
        <v>118</v>
      </c>
      <c r="E174" s="65">
        <f t="shared" si="6"/>
        <v>1239053.98</v>
      </c>
      <c r="F174" s="117">
        <v>3583436.02</v>
      </c>
      <c r="G174" s="117">
        <v>-72987</v>
      </c>
    </row>
    <row r="175" spans="1:5" ht="18.75">
      <c r="A175" s="67"/>
      <c r="B175" s="65"/>
      <c r="C175" s="99"/>
      <c r="D175" s="63"/>
      <c r="E175" s="65"/>
    </row>
    <row r="176" spans="1:5" ht="18.75">
      <c r="A176" s="60" t="s">
        <v>159</v>
      </c>
      <c r="B176" s="62"/>
      <c r="C176" s="98"/>
      <c r="D176" s="63"/>
      <c r="E176" s="62"/>
    </row>
    <row r="177" spans="1:5" ht="18.75">
      <c r="A177" s="61" t="s">
        <v>160</v>
      </c>
      <c r="B177" s="98">
        <f>180000+40000+30000+10000+20000+20000</f>
        <v>300000</v>
      </c>
      <c r="C177" s="98">
        <f>177531+36834.9+19000+28725+10000</f>
        <v>272090.9</v>
      </c>
      <c r="D177" s="63" t="s">
        <v>118</v>
      </c>
      <c r="E177" s="62">
        <f aca="true" t="shared" si="8" ref="E177:E182">B177-C177</f>
        <v>27909.099999999977</v>
      </c>
    </row>
    <row r="178" spans="1:5" ht="18.75">
      <c r="A178" s="61" t="s">
        <v>161</v>
      </c>
      <c r="B178" s="98">
        <f>20000</f>
        <v>20000</v>
      </c>
      <c r="C178" s="98">
        <v>5300</v>
      </c>
      <c r="D178" s="63" t="s">
        <v>118</v>
      </c>
      <c r="E178" s="62">
        <f t="shared" si="8"/>
        <v>14700</v>
      </c>
    </row>
    <row r="179" spans="1:5" ht="18.75">
      <c r="A179" s="61" t="s">
        <v>162</v>
      </c>
      <c r="B179" s="98">
        <f>110000-10000</f>
        <v>100000</v>
      </c>
      <c r="C179" s="98">
        <f>25070+19200+10000</f>
        <v>54270</v>
      </c>
      <c r="D179" s="63" t="s">
        <v>118</v>
      </c>
      <c r="E179" s="62">
        <f t="shared" si="8"/>
        <v>45730</v>
      </c>
    </row>
    <row r="180" spans="1:5" ht="18.75">
      <c r="A180" s="61" t="s">
        <v>163</v>
      </c>
      <c r="B180" s="98">
        <f>8000+10000</f>
        <v>18000</v>
      </c>
      <c r="C180" s="98">
        <f>0</f>
        <v>0</v>
      </c>
      <c r="D180" s="63" t="s">
        <v>118</v>
      </c>
      <c r="E180" s="62">
        <f t="shared" si="8"/>
        <v>18000</v>
      </c>
    </row>
    <row r="181" spans="1:5" ht="18.75">
      <c r="A181" s="61" t="s">
        <v>164</v>
      </c>
      <c r="B181" s="98">
        <f>200000+10000</f>
        <v>210000</v>
      </c>
      <c r="C181" s="98">
        <v>114940</v>
      </c>
      <c r="D181" s="63" t="s">
        <v>118</v>
      </c>
      <c r="E181" s="62">
        <f t="shared" si="8"/>
        <v>95060</v>
      </c>
    </row>
    <row r="182" spans="1:5" ht="18.75">
      <c r="A182" s="61" t="s">
        <v>165</v>
      </c>
      <c r="B182" s="98">
        <f>19000</f>
        <v>19000</v>
      </c>
      <c r="C182" s="98">
        <v>19000</v>
      </c>
      <c r="D182" s="63" t="s">
        <v>118</v>
      </c>
      <c r="E182" s="62">
        <f t="shared" si="8"/>
        <v>0</v>
      </c>
    </row>
    <row r="183" spans="1:5" ht="18.75">
      <c r="A183" s="61" t="s">
        <v>355</v>
      </c>
      <c r="B183" s="98">
        <v>33000</v>
      </c>
      <c r="C183" s="98">
        <v>31350</v>
      </c>
      <c r="D183" s="63" t="s">
        <v>118</v>
      </c>
      <c r="E183" s="62">
        <f>B183-C183</f>
        <v>1650</v>
      </c>
    </row>
    <row r="184" spans="1:5" ht="18.75">
      <c r="A184" s="61" t="s">
        <v>166</v>
      </c>
      <c r="B184" s="98">
        <f>799060+40000</f>
        <v>839060</v>
      </c>
      <c r="C184" s="98">
        <f>771869.98+65773.68</f>
        <v>837643.6599999999</v>
      </c>
      <c r="D184" s="63" t="s">
        <v>118</v>
      </c>
      <c r="E184" s="62">
        <f aca="true" t="shared" si="9" ref="E184:E210">B184-C184</f>
        <v>1416.3400000000838</v>
      </c>
    </row>
    <row r="185" spans="1:5" ht="18.75">
      <c r="A185" s="61" t="s">
        <v>167</v>
      </c>
      <c r="B185" s="98">
        <f>20000+10000</f>
        <v>30000</v>
      </c>
      <c r="C185" s="98">
        <v>0</v>
      </c>
      <c r="D185" s="63" t="s">
        <v>118</v>
      </c>
      <c r="E185" s="62">
        <f t="shared" si="9"/>
        <v>30000</v>
      </c>
    </row>
    <row r="186" spans="1:5" ht="18.75">
      <c r="A186" s="61" t="s">
        <v>168</v>
      </c>
      <c r="B186" s="98">
        <f>5000+30000</f>
        <v>35000</v>
      </c>
      <c r="C186" s="98">
        <v>26274</v>
      </c>
      <c r="D186" s="63" t="s">
        <v>118</v>
      </c>
      <c r="E186" s="62">
        <f>B186-C186</f>
        <v>8726</v>
      </c>
    </row>
    <row r="187" spans="1:5" ht="18.75">
      <c r="A187" s="61" t="s">
        <v>169</v>
      </c>
      <c r="B187" s="98">
        <f>20000+30000</f>
        <v>50000</v>
      </c>
      <c r="C187" s="98">
        <v>0</v>
      </c>
      <c r="D187" s="63" t="s">
        <v>118</v>
      </c>
      <c r="E187" s="62">
        <f t="shared" si="9"/>
        <v>50000</v>
      </c>
    </row>
    <row r="188" spans="1:5" ht="18.75">
      <c r="A188" s="61" t="s">
        <v>170</v>
      </c>
      <c r="B188" s="98">
        <v>10000</v>
      </c>
      <c r="C188" s="98">
        <v>0</v>
      </c>
      <c r="D188" s="63" t="s">
        <v>118</v>
      </c>
      <c r="E188" s="62">
        <f t="shared" si="9"/>
        <v>10000</v>
      </c>
    </row>
    <row r="189" spans="1:5" ht="18.75">
      <c r="A189" s="61" t="s">
        <v>280</v>
      </c>
      <c r="B189" s="98">
        <f>30000</f>
        <v>30000</v>
      </c>
      <c r="C189" s="98"/>
      <c r="D189" s="63"/>
      <c r="E189" s="62">
        <f>B189-C189</f>
        <v>30000</v>
      </c>
    </row>
    <row r="190" spans="1:5" ht="18.75">
      <c r="A190" s="61" t="s">
        <v>281</v>
      </c>
      <c r="B190" s="98">
        <f>10000+18000</f>
        <v>28000</v>
      </c>
      <c r="C190" s="98">
        <v>9380</v>
      </c>
      <c r="D190" s="63"/>
      <c r="E190" s="62">
        <f>B190-C190</f>
        <v>18620</v>
      </c>
    </row>
    <row r="191" spans="1:5" ht="18.75">
      <c r="A191" s="67" t="s">
        <v>171</v>
      </c>
      <c r="B191" s="157">
        <f>SUM(B177:B190)</f>
        <v>1722060</v>
      </c>
      <c r="C191" s="157">
        <f>SUM(C177:C190)</f>
        <v>1370248.56</v>
      </c>
      <c r="D191" s="66" t="s">
        <v>118</v>
      </c>
      <c r="E191" s="65">
        <f>B191-C191</f>
        <v>351811.43999999994</v>
      </c>
    </row>
    <row r="192" spans="1:5" ht="18.75">
      <c r="A192" s="67"/>
      <c r="B192" s="65"/>
      <c r="C192" s="99"/>
      <c r="D192" s="66"/>
      <c r="E192" s="65"/>
    </row>
    <row r="193" spans="1:5" ht="18.75">
      <c r="A193" s="60" t="s">
        <v>172</v>
      </c>
      <c r="B193" s="62"/>
      <c r="C193" s="98"/>
      <c r="D193" s="63"/>
      <c r="E193" s="62">
        <f t="shared" si="9"/>
        <v>0</v>
      </c>
    </row>
    <row r="194" spans="1:5" ht="18.75">
      <c r="A194" s="61" t="s">
        <v>173</v>
      </c>
      <c r="B194" s="98">
        <f>380580+35000</f>
        <v>415580</v>
      </c>
      <c r="C194" s="98">
        <v>259456.92</v>
      </c>
      <c r="D194" s="63" t="s">
        <v>118</v>
      </c>
      <c r="E194" s="62">
        <f t="shared" si="9"/>
        <v>156123.08</v>
      </c>
    </row>
    <row r="195" spans="1:5" ht="18.75">
      <c r="A195" s="61" t="s">
        <v>356</v>
      </c>
      <c r="B195" s="98">
        <f>35000-5000-5000</f>
        <v>25000</v>
      </c>
      <c r="C195" s="98">
        <f>10394.01+5607.87</f>
        <v>16001.880000000001</v>
      </c>
      <c r="D195" s="63" t="s">
        <v>118</v>
      </c>
      <c r="E195" s="62">
        <f t="shared" si="9"/>
        <v>8998.119999999999</v>
      </c>
    </row>
    <row r="196" spans="1:5" ht="18.75">
      <c r="A196" s="61" t="s">
        <v>174</v>
      </c>
      <c r="B196" s="98">
        <f>15000</f>
        <v>15000</v>
      </c>
      <c r="C196" s="98">
        <v>8168.5</v>
      </c>
      <c r="D196" s="63" t="s">
        <v>118</v>
      </c>
      <c r="E196" s="62">
        <f t="shared" si="9"/>
        <v>6831.5</v>
      </c>
    </row>
    <row r="197" spans="1:5" ht="18.75">
      <c r="A197" s="61" t="s">
        <v>175</v>
      </c>
      <c r="B197" s="98">
        <v>20000</v>
      </c>
      <c r="C197" s="98">
        <v>11228</v>
      </c>
      <c r="D197" s="63" t="s">
        <v>118</v>
      </c>
      <c r="E197" s="62">
        <f t="shared" si="9"/>
        <v>8772</v>
      </c>
    </row>
    <row r="198" spans="1:5" ht="18.75">
      <c r="A198" s="61" t="s">
        <v>176</v>
      </c>
      <c r="B198" s="98">
        <f>85000+5000+5000</f>
        <v>95000</v>
      </c>
      <c r="C198" s="98">
        <f>85903.46</f>
        <v>85903.46</v>
      </c>
      <c r="D198" s="63" t="s">
        <v>118</v>
      </c>
      <c r="E198" s="62">
        <f t="shared" si="9"/>
        <v>9096.539999999994</v>
      </c>
    </row>
    <row r="199" spans="1:7" ht="18.75">
      <c r="A199" s="67" t="s">
        <v>177</v>
      </c>
      <c r="B199" s="157">
        <f>SUM(B194:B198)</f>
        <v>570580</v>
      </c>
      <c r="C199" s="157">
        <f>SUM(C194:C198)</f>
        <v>380758.76</v>
      </c>
      <c r="D199" s="63" t="s">
        <v>118</v>
      </c>
      <c r="E199" s="65">
        <f t="shared" si="9"/>
        <v>189821.24</v>
      </c>
      <c r="F199" s="116"/>
      <c r="G199" s="116"/>
    </row>
    <row r="200" spans="1:5" ht="18.75">
      <c r="A200" s="67"/>
      <c r="B200" s="65"/>
      <c r="C200" s="99"/>
      <c r="D200" s="63"/>
      <c r="E200" s="65"/>
    </row>
    <row r="201" spans="1:5" ht="18.75">
      <c r="A201" s="187" t="s">
        <v>178</v>
      </c>
      <c r="B201" s="62"/>
      <c r="C201" s="98"/>
      <c r="D201" s="63"/>
      <c r="E201" s="62">
        <f t="shared" si="9"/>
        <v>0</v>
      </c>
    </row>
    <row r="202" spans="1:5" ht="18.75">
      <c r="A202" s="61" t="s">
        <v>282</v>
      </c>
      <c r="B202" s="98">
        <v>32000</v>
      </c>
      <c r="C202" s="98">
        <v>32000</v>
      </c>
      <c r="D202" s="63" t="s">
        <v>118</v>
      </c>
      <c r="E202" s="62">
        <f t="shared" si="9"/>
        <v>0</v>
      </c>
    </row>
    <row r="203" spans="1:5" ht="18.75">
      <c r="A203" s="61" t="s">
        <v>299</v>
      </c>
      <c r="B203" s="98">
        <v>127500</v>
      </c>
      <c r="C203" s="98">
        <v>127500</v>
      </c>
      <c r="D203" s="63" t="s">
        <v>118</v>
      </c>
      <c r="E203" s="62">
        <f t="shared" si="9"/>
        <v>0</v>
      </c>
    </row>
    <row r="204" spans="1:5" ht="18.75">
      <c r="A204" s="61" t="s">
        <v>283</v>
      </c>
      <c r="B204" s="98">
        <v>666000</v>
      </c>
      <c r="C204" s="98">
        <f>153000+153000+143000+30000+159000</f>
        <v>638000</v>
      </c>
      <c r="D204" s="63" t="s">
        <v>118</v>
      </c>
      <c r="E204" s="62">
        <f t="shared" si="9"/>
        <v>28000</v>
      </c>
    </row>
    <row r="205" spans="1:5" ht="18.75">
      <c r="A205" s="61" t="s">
        <v>284</v>
      </c>
      <c r="B205" s="98">
        <v>109000</v>
      </c>
      <c r="C205" s="98">
        <v>42000</v>
      </c>
      <c r="D205" s="63" t="s">
        <v>118</v>
      </c>
      <c r="E205" s="62">
        <f t="shared" si="9"/>
        <v>67000</v>
      </c>
    </row>
    <row r="206" spans="1:5" ht="18.75">
      <c r="A206" s="61" t="s">
        <v>285</v>
      </c>
      <c r="B206" s="98">
        <v>209000</v>
      </c>
      <c r="C206" s="98">
        <f>46000+46000+50000+25000+54000</f>
        <v>221000</v>
      </c>
      <c r="D206" s="63" t="s">
        <v>118</v>
      </c>
      <c r="E206" s="62">
        <f t="shared" si="9"/>
        <v>-12000</v>
      </c>
    </row>
    <row r="207" spans="1:5" ht="18.75">
      <c r="A207" s="61" t="s">
        <v>286</v>
      </c>
      <c r="B207" s="98">
        <v>406000</v>
      </c>
      <c r="C207" s="98">
        <v>394000</v>
      </c>
      <c r="D207" s="63" t="s">
        <v>118</v>
      </c>
      <c r="E207" s="62">
        <f t="shared" si="9"/>
        <v>12000</v>
      </c>
    </row>
    <row r="208" spans="1:5" ht="18.75">
      <c r="A208" s="61" t="s">
        <v>287</v>
      </c>
      <c r="B208" s="98">
        <v>273000</v>
      </c>
      <c r="C208" s="98">
        <v>302000</v>
      </c>
      <c r="D208" s="63" t="s">
        <v>118</v>
      </c>
      <c r="E208" s="62">
        <f>B208-C208</f>
        <v>-29000</v>
      </c>
    </row>
    <row r="209" spans="1:5" ht="18.75">
      <c r="A209" s="61" t="s">
        <v>288</v>
      </c>
      <c r="B209" s="98">
        <v>25000</v>
      </c>
      <c r="C209" s="98">
        <v>25000</v>
      </c>
      <c r="D209" s="63"/>
      <c r="E209" s="62">
        <f>B209-C209</f>
        <v>0</v>
      </c>
    </row>
    <row r="210" spans="1:5" ht="18.75">
      <c r="A210" s="67" t="s">
        <v>179</v>
      </c>
      <c r="B210" s="157">
        <f>SUM(B202:B209)</f>
        <v>1847500</v>
      </c>
      <c r="C210" s="157">
        <f>SUM(C202:C209)</f>
        <v>1781500</v>
      </c>
      <c r="D210" s="63" t="s">
        <v>118</v>
      </c>
      <c r="E210" s="65">
        <f t="shared" si="9"/>
        <v>66000</v>
      </c>
    </row>
    <row r="211" spans="1:5" ht="18.75">
      <c r="A211" s="67"/>
      <c r="B211" s="65"/>
      <c r="C211" s="99"/>
      <c r="D211" s="63"/>
      <c r="E211" s="65"/>
    </row>
    <row r="212" spans="1:5" ht="18.75">
      <c r="A212" s="188" t="s">
        <v>180</v>
      </c>
      <c r="B212" s="65"/>
      <c r="C212" s="99"/>
      <c r="D212" s="63"/>
      <c r="E212" s="65"/>
    </row>
    <row r="213" spans="1:5" ht="18.75">
      <c r="A213" s="82" t="s">
        <v>357</v>
      </c>
      <c r="B213" s="99">
        <v>35000</v>
      </c>
      <c r="C213" s="98">
        <v>27000</v>
      </c>
      <c r="D213" s="63"/>
      <c r="E213" s="65">
        <f>B213-C213</f>
        <v>8000</v>
      </c>
    </row>
    <row r="214" spans="1:5" ht="18.75">
      <c r="A214" s="67" t="s">
        <v>181</v>
      </c>
      <c r="B214" s="157">
        <f>B213</f>
        <v>35000</v>
      </c>
      <c r="C214" s="157">
        <f>C213</f>
        <v>27000</v>
      </c>
      <c r="D214" s="63"/>
      <c r="E214" s="65">
        <f>B214-C214</f>
        <v>8000</v>
      </c>
    </row>
    <row r="215" spans="1:5" ht="18.75">
      <c r="A215" s="82"/>
      <c r="B215" s="65"/>
      <c r="C215" s="99"/>
      <c r="D215" s="63"/>
      <c r="E215" s="65"/>
    </row>
    <row r="216" spans="1:5" ht="18.75">
      <c r="A216" s="187" t="s">
        <v>182</v>
      </c>
      <c r="B216" s="62"/>
      <c r="C216" s="98"/>
      <c r="D216" s="63"/>
      <c r="E216" s="62"/>
    </row>
    <row r="217" spans="1:5" ht="18.75">
      <c r="A217" s="187" t="s">
        <v>183</v>
      </c>
      <c r="B217" s="62"/>
      <c r="C217" s="98"/>
      <c r="D217" s="63"/>
      <c r="E217" s="62"/>
    </row>
    <row r="218" spans="1:5" ht="18.75">
      <c r="A218" s="61" t="s">
        <v>184</v>
      </c>
      <c r="B218" s="98">
        <f>237100+10800+5900</f>
        <v>253800</v>
      </c>
      <c r="C218" s="98">
        <f>23100+7700+2500+11000+5700+5700+10800+96000+26500+4400+23100+7700+23100</f>
        <v>247300</v>
      </c>
      <c r="D218" s="63" t="s">
        <v>118</v>
      </c>
      <c r="E218" s="62">
        <f>B218-C218</f>
        <v>6500</v>
      </c>
    </row>
    <row r="219" spans="1:5" ht="18.75">
      <c r="A219" s="61" t="s">
        <v>358</v>
      </c>
      <c r="B219" s="98">
        <f>100000+18000</f>
        <v>118000</v>
      </c>
      <c r="C219" s="98">
        <v>118000</v>
      </c>
      <c r="D219" s="63" t="s">
        <v>118</v>
      </c>
      <c r="E219" s="62">
        <f>B219-C219</f>
        <v>0</v>
      </c>
    </row>
    <row r="220" spans="1:5" ht="18.75">
      <c r="A220" s="61" t="s">
        <v>359</v>
      </c>
      <c r="B220" s="98">
        <v>55000</v>
      </c>
      <c r="C220" s="98">
        <v>53500</v>
      </c>
      <c r="D220" s="63" t="s">
        <v>118</v>
      </c>
      <c r="E220" s="62">
        <f>B220-C220</f>
        <v>1500</v>
      </c>
    </row>
    <row r="221" spans="1:5" ht="18.75">
      <c r="A221" s="61" t="s">
        <v>360</v>
      </c>
      <c r="B221" s="98">
        <v>100000</v>
      </c>
      <c r="C221" s="98">
        <v>99000</v>
      </c>
      <c r="D221" s="63" t="s">
        <v>118</v>
      </c>
      <c r="E221" s="62">
        <f>B221-C221</f>
        <v>1000</v>
      </c>
    </row>
    <row r="222" spans="1:5" ht="18.75">
      <c r="A222" s="67" t="s">
        <v>185</v>
      </c>
      <c r="B222" s="157">
        <f>SUM(B218:B221)</f>
        <v>526800</v>
      </c>
      <c r="C222" s="157">
        <f>SUM(C218:C221)</f>
        <v>517800</v>
      </c>
      <c r="D222" s="63" t="s">
        <v>118</v>
      </c>
      <c r="E222" s="65">
        <f>SUM(E218:E221)</f>
        <v>9000</v>
      </c>
    </row>
    <row r="223" spans="1:5" ht="18.75">
      <c r="A223" s="67"/>
      <c r="B223" s="65"/>
      <c r="C223" s="99"/>
      <c r="D223" s="63"/>
      <c r="E223" s="65"/>
    </row>
    <row r="224" spans="1:5" ht="18.75">
      <c r="A224" s="189" t="s">
        <v>186</v>
      </c>
      <c r="B224" s="65"/>
      <c r="C224" s="99"/>
      <c r="D224" s="63"/>
      <c r="E224" s="65"/>
    </row>
    <row r="225" spans="1:5" ht="18.75">
      <c r="A225" s="61" t="s">
        <v>361</v>
      </c>
      <c r="B225" s="98">
        <f>2873700+259700-100000+100000-221000+221000-100000+100000-54000+54000+107000</f>
        <v>3240400</v>
      </c>
      <c r="C225" s="98">
        <f>97000+98000+99500+88000+99500+97600+98000+83300+97200+98900+98500+98000+98600+97000+190000+335000+219000+252000+99500+50000</f>
        <v>2494600</v>
      </c>
      <c r="D225" s="63" t="s">
        <v>118</v>
      </c>
      <c r="E225" s="62">
        <f>B225-C225</f>
        <v>745800</v>
      </c>
    </row>
    <row r="226" spans="1:5" ht="18.75">
      <c r="A226" s="61" t="s">
        <v>248</v>
      </c>
      <c r="B226" s="98">
        <v>0</v>
      </c>
      <c r="C226" s="98">
        <v>0</v>
      </c>
      <c r="D226" s="63"/>
      <c r="E226" s="62">
        <f>B226-C226</f>
        <v>0</v>
      </c>
    </row>
    <row r="227" spans="1:6" ht="18.75">
      <c r="A227" s="67" t="s">
        <v>187</v>
      </c>
      <c r="B227" s="157">
        <f>SUM(B225:B226)</f>
        <v>3240400</v>
      </c>
      <c r="C227" s="157">
        <f>SUM(C225:C226)</f>
        <v>2494600</v>
      </c>
      <c r="D227" s="63" t="s">
        <v>118</v>
      </c>
      <c r="E227" s="65">
        <f>B227-C227</f>
        <v>745800</v>
      </c>
      <c r="F227" s="180"/>
    </row>
    <row r="228" spans="1:6" ht="18.75">
      <c r="A228" s="67" t="s">
        <v>188</v>
      </c>
      <c r="B228" s="158">
        <f>B227+B210+B199+B191+B174+B124+B115+B107+B99+B222+B214</f>
        <v>42000000</v>
      </c>
      <c r="C228" s="158">
        <f>C99+C107+C115+C124+C174+C191+C199+C210+C214+C222+C227</f>
        <v>35843344.34</v>
      </c>
      <c r="D228" s="63" t="s">
        <v>118</v>
      </c>
      <c r="E228" s="65">
        <f>B228-C228</f>
        <v>6156655.659999996</v>
      </c>
      <c r="F228" s="180"/>
    </row>
    <row r="229" spans="1:6" ht="18.75">
      <c r="A229" s="67" t="s">
        <v>189</v>
      </c>
      <c r="B229" s="65"/>
      <c r="C229" s="190">
        <f>C59-C228</f>
        <v>3892647.949999988</v>
      </c>
      <c r="D229" s="63"/>
      <c r="E229" s="65"/>
      <c r="F229" s="186"/>
    </row>
  </sheetData>
  <sheetProtection/>
  <mergeCells count="13">
    <mergeCell ref="A1:E1"/>
    <mergeCell ref="A2:E2"/>
    <mergeCell ref="A3:E3"/>
    <mergeCell ref="A4:A5"/>
    <mergeCell ref="C4:C5"/>
    <mergeCell ref="E4:E5"/>
    <mergeCell ref="A44:A45"/>
    <mergeCell ref="C44:C45"/>
    <mergeCell ref="E44:E45"/>
    <mergeCell ref="E89:E90"/>
    <mergeCell ref="E130:E131"/>
    <mergeCell ref="A89:A90"/>
    <mergeCell ref="A130:A131"/>
  </mergeCells>
  <printOptions horizontalCentered="1"/>
  <pageMargins left="0.2" right="0" top="0.29" bottom="0" header="0.22" footer="0.1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9.00390625" style="14" customWidth="1"/>
    <col min="2" max="2" width="36.421875" style="14" customWidth="1"/>
    <col min="3" max="3" width="14.421875" style="14" customWidth="1"/>
    <col min="4" max="4" width="9.00390625" style="14" customWidth="1"/>
    <col min="5" max="5" width="14.421875" style="14" customWidth="1"/>
    <col min="6" max="16384" width="9.00390625" style="14" customWidth="1"/>
  </cols>
  <sheetData>
    <row r="1" spans="2:9" ht="23.25" customHeight="1">
      <c r="B1" s="216" t="s">
        <v>234</v>
      </c>
      <c r="C1" s="216"/>
      <c r="D1" s="216"/>
      <c r="E1" s="42"/>
      <c r="F1" s="216"/>
      <c r="G1" s="216"/>
      <c r="H1" s="216"/>
      <c r="I1" s="231"/>
    </row>
    <row r="2" spans="1:5" ht="24.75">
      <c r="A2" s="216" t="s">
        <v>62</v>
      </c>
      <c r="B2" s="216"/>
      <c r="C2" s="216"/>
      <c r="D2" s="234"/>
      <c r="E2" s="231"/>
    </row>
    <row r="3" spans="1:5" ht="24.75">
      <c r="A3" s="216" t="s">
        <v>365</v>
      </c>
      <c r="B3" s="216"/>
      <c r="C3" s="216"/>
      <c r="D3" s="234"/>
      <c r="E3" s="231"/>
    </row>
    <row r="4" ht="13.5" customHeight="1"/>
    <row r="5" spans="1:2" ht="24.75">
      <c r="A5" s="232" t="s">
        <v>105</v>
      </c>
      <c r="B5" s="232"/>
    </row>
    <row r="6" spans="1:6" ht="24.75">
      <c r="A6" s="233" t="s">
        <v>404</v>
      </c>
      <c r="B6" s="233"/>
      <c r="C6" s="43"/>
      <c r="D6" s="44"/>
      <c r="E6" s="43">
        <v>11466612.6</v>
      </c>
      <c r="F6" s="10"/>
    </row>
    <row r="7" spans="1:6" ht="24.75">
      <c r="A7" s="12" t="s">
        <v>94</v>
      </c>
      <c r="B7" s="45"/>
      <c r="C7" s="44">
        <v>3892647.95</v>
      </c>
      <c r="D7" s="44"/>
      <c r="E7" s="44"/>
      <c r="F7" s="10"/>
    </row>
    <row r="8" spans="1:6" ht="26.25">
      <c r="A8" s="46" t="s">
        <v>95</v>
      </c>
      <c r="B8" s="12"/>
      <c r="C8" s="50">
        <v>973161.99</v>
      </c>
      <c r="D8" s="44"/>
      <c r="E8" s="47">
        <f>C7-C8</f>
        <v>2919485.96</v>
      </c>
      <c r="F8" s="10"/>
    </row>
    <row r="9" spans="1:6" ht="24.75">
      <c r="A9" s="46" t="s">
        <v>96</v>
      </c>
      <c r="B9" s="12"/>
      <c r="C9" s="44"/>
      <c r="D9" s="44"/>
      <c r="E9" s="44"/>
      <c r="F9" s="10"/>
    </row>
    <row r="10" spans="1:6" ht="24.75">
      <c r="A10" s="12" t="s">
        <v>97</v>
      </c>
      <c r="B10" s="12"/>
      <c r="C10" s="44">
        <v>9925.6</v>
      </c>
      <c r="D10" s="44"/>
      <c r="E10" s="44"/>
      <c r="F10" s="10"/>
    </row>
    <row r="11" spans="1:6" ht="24.75">
      <c r="A11" s="183" t="s">
        <v>405</v>
      </c>
      <c r="B11" s="183"/>
      <c r="C11" s="183"/>
      <c r="D11" s="44"/>
      <c r="E11" s="44"/>
      <c r="F11" s="10"/>
    </row>
    <row r="12" spans="1:6" ht="24.75">
      <c r="A12" s="12"/>
      <c r="B12" s="12" t="s">
        <v>427</v>
      </c>
      <c r="C12" s="44">
        <v>89035</v>
      </c>
      <c r="D12" s="44"/>
      <c r="E12" s="44"/>
      <c r="F12" s="10"/>
    </row>
    <row r="13" spans="1:6" ht="24.75">
      <c r="A13" s="12" t="s">
        <v>406</v>
      </c>
      <c r="B13" s="12"/>
      <c r="C13" s="49">
        <v>8400</v>
      </c>
      <c r="D13" s="44"/>
      <c r="E13" s="44"/>
      <c r="F13" s="10"/>
    </row>
    <row r="14" spans="1:6" ht="24.75">
      <c r="A14" s="12" t="s">
        <v>407</v>
      </c>
      <c r="B14" s="12"/>
      <c r="C14" s="49">
        <v>5400</v>
      </c>
      <c r="D14" s="44"/>
      <c r="E14" s="44"/>
      <c r="F14" s="10"/>
    </row>
    <row r="15" spans="1:6" ht="24.75">
      <c r="A15" s="12" t="s">
        <v>408</v>
      </c>
      <c r="B15" s="12"/>
      <c r="C15" s="49">
        <v>238</v>
      </c>
      <c r="D15" s="44"/>
      <c r="E15" s="44"/>
      <c r="F15" s="10"/>
    </row>
    <row r="16" spans="1:6" ht="24.75">
      <c r="A16" s="12" t="s">
        <v>409</v>
      </c>
      <c r="B16" s="12"/>
      <c r="C16" s="49">
        <v>3020</v>
      </c>
      <c r="D16" s="44"/>
      <c r="E16" s="44"/>
      <c r="F16" s="10"/>
    </row>
    <row r="17" spans="1:6" ht="24.75">
      <c r="A17" s="12" t="s">
        <v>410</v>
      </c>
      <c r="B17" s="12"/>
      <c r="C17" s="49">
        <v>3000</v>
      </c>
      <c r="D17" s="44"/>
      <c r="E17" s="44"/>
      <c r="F17" s="10"/>
    </row>
    <row r="18" spans="1:6" ht="24.75">
      <c r="A18" s="12" t="s">
        <v>246</v>
      </c>
      <c r="B18" s="12"/>
      <c r="C18" s="50">
        <v>0</v>
      </c>
      <c r="D18" s="44"/>
      <c r="E18" s="44"/>
      <c r="F18" s="10"/>
    </row>
    <row r="19" spans="1:6" ht="24.75">
      <c r="A19" s="12"/>
      <c r="B19" s="12"/>
      <c r="C19" s="49"/>
      <c r="D19" s="44"/>
      <c r="E19" s="50">
        <f>C10+C12+C13+C14+C15+C16+C17+C18</f>
        <v>119018.6</v>
      </c>
      <c r="F19" s="10"/>
    </row>
    <row r="20" spans="1:6" ht="24.75">
      <c r="A20" s="12"/>
      <c r="B20" s="12"/>
      <c r="C20" s="49"/>
      <c r="D20" s="44"/>
      <c r="E20" s="49"/>
      <c r="F20" s="10"/>
    </row>
    <row r="21" spans="1:6" ht="24.75">
      <c r="A21" s="46" t="s">
        <v>98</v>
      </c>
      <c r="B21" s="12"/>
      <c r="C21" s="49"/>
      <c r="D21" s="44"/>
      <c r="E21" s="49"/>
      <c r="F21" s="10"/>
    </row>
    <row r="22" spans="1:6" ht="24.75">
      <c r="A22" s="12" t="s">
        <v>99</v>
      </c>
      <c r="B22" s="49"/>
      <c r="C22" s="184" t="s">
        <v>412</v>
      </c>
      <c r="D22" s="44"/>
      <c r="E22" s="44"/>
      <c r="F22" s="10"/>
    </row>
    <row r="23" spans="1:6" ht="24.75">
      <c r="A23" s="12"/>
      <c r="B23" s="49"/>
      <c r="C23" s="50">
        <v>0</v>
      </c>
      <c r="D23" s="44"/>
      <c r="E23" s="185" t="str">
        <f>C22</f>
        <v>4,373,800.00</v>
      </c>
      <c r="F23" s="10"/>
    </row>
    <row r="24" spans="1:6" ht="25.5" thickBot="1">
      <c r="A24" s="46" t="s">
        <v>411</v>
      </c>
      <c r="B24" s="43"/>
      <c r="C24" s="43"/>
      <c r="D24" s="43"/>
      <c r="E24" s="51">
        <f>E6+E8+E19-E23</f>
        <v>10131317.159999998</v>
      </c>
      <c r="F24" s="10"/>
    </row>
    <row r="25" spans="1:6" ht="25.5" thickTop="1">
      <c r="A25" s="46" t="s">
        <v>413</v>
      </c>
      <c r="B25" s="46"/>
      <c r="C25" s="44"/>
      <c r="D25" s="44"/>
      <c r="E25" s="48"/>
      <c r="F25" s="10"/>
    </row>
    <row r="26" spans="1:6" ht="24.75">
      <c r="A26" s="12" t="s">
        <v>414</v>
      </c>
      <c r="B26" s="12"/>
      <c r="C26" s="44"/>
      <c r="D26" s="44"/>
      <c r="E26" s="44">
        <v>42400</v>
      </c>
      <c r="F26" s="10"/>
    </row>
    <row r="27" spans="1:6" ht="24.75">
      <c r="A27" s="12" t="s">
        <v>100</v>
      </c>
      <c r="B27" s="12"/>
      <c r="C27" s="44"/>
      <c r="D27" s="44"/>
      <c r="E27" s="44">
        <v>77762.86</v>
      </c>
      <c r="F27" s="10"/>
    </row>
    <row r="28" spans="1:6" ht="24.75">
      <c r="A28" s="12" t="s">
        <v>415</v>
      </c>
      <c r="B28" s="12"/>
      <c r="C28" s="44"/>
      <c r="D28" s="44"/>
      <c r="E28" s="44">
        <v>25518.75</v>
      </c>
      <c r="F28" s="10"/>
    </row>
    <row r="29" spans="1:6" ht="24.75">
      <c r="A29" s="12" t="s">
        <v>416</v>
      </c>
      <c r="B29" s="12"/>
      <c r="C29" s="44"/>
      <c r="D29" s="44"/>
      <c r="E29" s="50">
        <v>9985635.55</v>
      </c>
      <c r="F29" s="10"/>
    </row>
    <row r="30" spans="1:6" ht="25.5" thickBot="1">
      <c r="A30" s="12"/>
      <c r="B30" s="12"/>
      <c r="C30" s="44"/>
      <c r="D30" s="44"/>
      <c r="E30" s="52">
        <f>E26+E27+E28+E29</f>
        <v>10131317.16</v>
      </c>
      <c r="F30" s="10"/>
    </row>
    <row r="31" ht="25.5" thickTop="1"/>
    <row r="32" ht="24.75">
      <c r="A32" s="14" t="s">
        <v>417</v>
      </c>
    </row>
    <row r="33" ht="24.75">
      <c r="A33" s="53" t="s">
        <v>113</v>
      </c>
    </row>
  </sheetData>
  <sheetProtection/>
  <mergeCells count="6">
    <mergeCell ref="F1:I1"/>
    <mergeCell ref="A5:B5"/>
    <mergeCell ref="A6:B6"/>
    <mergeCell ref="A2:E2"/>
    <mergeCell ref="A3:E3"/>
    <mergeCell ref="B1:D1"/>
  </mergeCells>
  <printOptions/>
  <pageMargins left="0.9" right="0.2" top="0.22" bottom="0.16" header="0.31496062992125984" footer="0.1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0.421875" style="2" customWidth="1"/>
    <col min="2" max="2" width="11.57421875" style="2" customWidth="1"/>
    <col min="3" max="13" width="11.140625" style="2" bestFit="1" customWidth="1"/>
    <col min="14" max="14" width="13.28125" style="2" customWidth="1"/>
    <col min="15" max="16384" width="9.00390625" style="2" customWidth="1"/>
  </cols>
  <sheetData>
    <row r="1" ht="23.25">
      <c r="A1" s="2" t="s">
        <v>107</v>
      </c>
    </row>
    <row r="2" spans="1:14" ht="23.25">
      <c r="A2" s="171"/>
      <c r="B2" s="172" t="s">
        <v>393</v>
      </c>
      <c r="C2" s="172" t="s">
        <v>394</v>
      </c>
      <c r="D2" s="172" t="s">
        <v>204</v>
      </c>
      <c r="E2" s="172" t="s">
        <v>205</v>
      </c>
      <c r="F2" s="172" t="s">
        <v>395</v>
      </c>
      <c r="G2" s="172" t="s">
        <v>206</v>
      </c>
      <c r="H2" s="172" t="s">
        <v>207</v>
      </c>
      <c r="I2" s="172" t="s">
        <v>208</v>
      </c>
      <c r="J2" s="172" t="s">
        <v>209</v>
      </c>
      <c r="K2" s="172" t="s">
        <v>210</v>
      </c>
      <c r="L2" s="172" t="s">
        <v>211</v>
      </c>
      <c r="M2" s="172" t="s">
        <v>212</v>
      </c>
      <c r="N2" s="172" t="s">
        <v>60</v>
      </c>
    </row>
    <row r="3" spans="1:14" ht="23.25">
      <c r="A3" s="174" t="s">
        <v>386</v>
      </c>
      <c r="B3" s="175">
        <v>10035</v>
      </c>
      <c r="C3" s="175">
        <v>10605</v>
      </c>
      <c r="D3" s="175">
        <v>10605</v>
      </c>
      <c r="E3" s="175">
        <v>10605</v>
      </c>
      <c r="F3" s="175">
        <v>10605</v>
      </c>
      <c r="G3" s="175">
        <v>10605</v>
      </c>
      <c r="H3" s="175">
        <v>10106</v>
      </c>
      <c r="I3" s="175">
        <v>9893</v>
      </c>
      <c r="J3" s="175">
        <v>9893</v>
      </c>
      <c r="K3" s="175">
        <v>9893</v>
      </c>
      <c r="L3" s="175">
        <v>9893</v>
      </c>
      <c r="M3" s="175">
        <v>9893</v>
      </c>
      <c r="N3" s="175">
        <f aca="true" t="shared" si="0" ref="N3:N10">SUM(B3:M3)</f>
        <v>122631</v>
      </c>
    </row>
    <row r="4" spans="1:14" ht="23.25">
      <c r="A4" s="176" t="s">
        <v>392</v>
      </c>
      <c r="B4" s="177"/>
      <c r="C4" s="177">
        <v>11400</v>
      </c>
      <c r="D4" s="177">
        <v>50000</v>
      </c>
      <c r="E4" s="177">
        <v>233300</v>
      </c>
      <c r="F4" s="177"/>
      <c r="G4" s="177"/>
      <c r="H4" s="177">
        <v>600</v>
      </c>
      <c r="I4" s="177">
        <v>800</v>
      </c>
      <c r="J4" s="177"/>
      <c r="K4" s="177">
        <v>44000</v>
      </c>
      <c r="L4" s="177">
        <v>62850</v>
      </c>
      <c r="M4" s="177"/>
      <c r="N4" s="177">
        <f t="shared" si="0"/>
        <v>402950</v>
      </c>
    </row>
    <row r="5" spans="1:14" ht="23.25">
      <c r="A5" s="176" t="s">
        <v>387</v>
      </c>
      <c r="B5" s="177"/>
      <c r="C5" s="177"/>
      <c r="D5" s="177"/>
      <c r="E5" s="177"/>
      <c r="F5" s="177"/>
      <c r="G5" s="177">
        <v>120000</v>
      </c>
      <c r="H5" s="177"/>
      <c r="I5" s="177"/>
      <c r="J5" s="177"/>
      <c r="K5" s="177"/>
      <c r="L5" s="177"/>
      <c r="M5" s="177"/>
      <c r="N5" s="177">
        <f t="shared" si="0"/>
        <v>120000</v>
      </c>
    </row>
    <row r="6" spans="1:14" ht="23.25">
      <c r="A6" s="176" t="s">
        <v>388</v>
      </c>
      <c r="B6" s="177"/>
      <c r="C6" s="177">
        <v>176500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>
        <f t="shared" si="0"/>
        <v>176500</v>
      </c>
    </row>
    <row r="7" spans="1:14" ht="23.25">
      <c r="A7" s="176" t="s">
        <v>389</v>
      </c>
      <c r="B7" s="177">
        <v>857700</v>
      </c>
      <c r="C7" s="177">
        <v>855400</v>
      </c>
      <c r="D7" s="177">
        <v>850500</v>
      </c>
      <c r="E7" s="177">
        <v>848100</v>
      </c>
      <c r="F7" s="177">
        <v>844700</v>
      </c>
      <c r="G7" s="177">
        <v>840900</v>
      </c>
      <c r="H7" s="177">
        <v>839300</v>
      </c>
      <c r="I7" s="177">
        <v>833600</v>
      </c>
      <c r="J7" s="177">
        <v>832200</v>
      </c>
      <c r="K7" s="177">
        <v>814500</v>
      </c>
      <c r="L7" s="177">
        <v>825800</v>
      </c>
      <c r="M7" s="177">
        <v>822100</v>
      </c>
      <c r="N7" s="177">
        <f t="shared" si="0"/>
        <v>10064800</v>
      </c>
    </row>
    <row r="8" spans="1:14" ht="23.25">
      <c r="A8" s="176" t="s">
        <v>390</v>
      </c>
      <c r="B8" s="177">
        <v>208800</v>
      </c>
      <c r="C8" s="177">
        <v>217600</v>
      </c>
      <c r="D8" s="177">
        <v>220800</v>
      </c>
      <c r="E8" s="177">
        <v>224800</v>
      </c>
      <c r="F8" s="177">
        <v>225600</v>
      </c>
      <c r="G8" s="177">
        <v>223200</v>
      </c>
      <c r="H8" s="177">
        <v>223200</v>
      </c>
      <c r="I8" s="177">
        <v>223200</v>
      </c>
      <c r="J8" s="177">
        <v>224800</v>
      </c>
      <c r="K8" s="177">
        <v>228800</v>
      </c>
      <c r="L8" s="177">
        <v>228000</v>
      </c>
      <c r="M8" s="177">
        <v>226400</v>
      </c>
      <c r="N8" s="177">
        <f t="shared" si="0"/>
        <v>2675200</v>
      </c>
    </row>
    <row r="9" spans="1:14" ht="23.25">
      <c r="A9" s="178" t="s">
        <v>391</v>
      </c>
      <c r="B9" s="179"/>
      <c r="C9" s="179"/>
      <c r="D9" s="179">
        <v>500</v>
      </c>
      <c r="E9" s="179">
        <v>500</v>
      </c>
      <c r="F9" s="179">
        <v>500</v>
      </c>
      <c r="G9" s="179">
        <v>500</v>
      </c>
      <c r="H9" s="179">
        <v>500</v>
      </c>
      <c r="I9" s="179">
        <v>500</v>
      </c>
      <c r="J9" s="179">
        <v>500</v>
      </c>
      <c r="K9" s="179">
        <v>500</v>
      </c>
      <c r="L9" s="179">
        <v>500</v>
      </c>
      <c r="M9" s="179">
        <v>500</v>
      </c>
      <c r="N9" s="179">
        <f t="shared" si="0"/>
        <v>5000</v>
      </c>
    </row>
    <row r="10" spans="1:14" ht="23.25">
      <c r="A10" s="171"/>
      <c r="B10" s="173">
        <f aca="true" t="shared" si="1" ref="B10:M10">SUM(B3:B9)</f>
        <v>1076535</v>
      </c>
      <c r="C10" s="173">
        <f t="shared" si="1"/>
        <v>1271505</v>
      </c>
      <c r="D10" s="173">
        <f t="shared" si="1"/>
        <v>1132405</v>
      </c>
      <c r="E10" s="173">
        <f t="shared" si="1"/>
        <v>1317305</v>
      </c>
      <c r="F10" s="173">
        <f t="shared" si="1"/>
        <v>1081405</v>
      </c>
      <c r="G10" s="173">
        <f t="shared" si="1"/>
        <v>1195205</v>
      </c>
      <c r="H10" s="173">
        <f t="shared" si="1"/>
        <v>1073706</v>
      </c>
      <c r="I10" s="173">
        <f t="shared" si="1"/>
        <v>1067993</v>
      </c>
      <c r="J10" s="173">
        <f t="shared" si="1"/>
        <v>1067393</v>
      </c>
      <c r="K10" s="173">
        <f t="shared" si="1"/>
        <v>1097693</v>
      </c>
      <c r="L10" s="173">
        <f t="shared" si="1"/>
        <v>1127043</v>
      </c>
      <c r="M10" s="173">
        <f t="shared" si="1"/>
        <v>1058893</v>
      </c>
      <c r="N10" s="173">
        <f t="shared" si="0"/>
        <v>13567081</v>
      </c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F31" sqref="F31"/>
    </sheetView>
  </sheetViews>
  <sheetFormatPr defaultColWidth="46.8515625" defaultRowHeight="15"/>
  <cols>
    <col min="1" max="1" width="50.8515625" style="10" customWidth="1"/>
    <col min="2" max="2" width="9.140625" style="10" customWidth="1"/>
    <col min="3" max="3" width="16.57421875" style="197" customWidth="1"/>
    <col min="4" max="4" width="16.421875" style="10" customWidth="1"/>
    <col min="5" max="5" width="11.57421875" style="10" customWidth="1"/>
    <col min="6" max="6" width="14.421875" style="10" customWidth="1"/>
    <col min="7" max="16384" width="46.8515625" style="10" customWidth="1"/>
  </cols>
  <sheetData>
    <row r="1" spans="1:4" s="95" customFormat="1" ht="24.75">
      <c r="A1" s="207" t="s">
        <v>292</v>
      </c>
      <c r="B1" s="207"/>
      <c r="C1" s="207"/>
      <c r="D1" s="207"/>
    </row>
    <row r="2" spans="1:4" s="95" customFormat="1" ht="24.75">
      <c r="A2" s="207" t="s">
        <v>197</v>
      </c>
      <c r="B2" s="207"/>
      <c r="C2" s="207"/>
      <c r="D2" s="207"/>
    </row>
    <row r="3" spans="1:4" s="95" customFormat="1" ht="24.75">
      <c r="A3" s="207" t="s">
        <v>398</v>
      </c>
      <c r="B3" s="207"/>
      <c r="C3" s="207"/>
      <c r="D3" s="207"/>
    </row>
    <row r="4" spans="1:4" ht="24.75">
      <c r="A4" s="26" t="s">
        <v>192</v>
      </c>
      <c r="B4" s="26" t="s">
        <v>193</v>
      </c>
      <c r="C4" s="26" t="s">
        <v>190</v>
      </c>
      <c r="D4" s="26" t="s">
        <v>191</v>
      </c>
    </row>
    <row r="5" spans="1:4" ht="24.75">
      <c r="A5" s="83" t="s">
        <v>198</v>
      </c>
      <c r="B5" s="84" t="s">
        <v>199</v>
      </c>
      <c r="C5" s="85">
        <v>0</v>
      </c>
      <c r="D5" s="83"/>
    </row>
    <row r="6" spans="1:4" ht="24.75">
      <c r="A6" s="28" t="s">
        <v>224</v>
      </c>
      <c r="B6" s="86" t="s">
        <v>194</v>
      </c>
      <c r="C6" s="94">
        <v>3318.01</v>
      </c>
      <c r="D6" s="87"/>
    </row>
    <row r="7" spans="1:4" ht="24.75">
      <c r="A7" s="28" t="s">
        <v>225</v>
      </c>
      <c r="B7" s="86" t="s">
        <v>194</v>
      </c>
      <c r="C7" s="94">
        <v>0</v>
      </c>
      <c r="D7" s="87"/>
    </row>
    <row r="8" spans="1:4" ht="24.75">
      <c r="A8" s="28" t="s">
        <v>226</v>
      </c>
      <c r="B8" s="86" t="s">
        <v>194</v>
      </c>
      <c r="C8" s="94">
        <v>2882287.67</v>
      </c>
      <c r="D8" s="87"/>
    </row>
    <row r="9" spans="1:6" ht="24.75">
      <c r="A9" s="28" t="s">
        <v>227</v>
      </c>
      <c r="B9" s="86" t="s">
        <v>195</v>
      </c>
      <c r="C9" s="94">
        <v>710559.26</v>
      </c>
      <c r="D9" s="87"/>
      <c r="F9" s="11"/>
    </row>
    <row r="10" spans="1:4" ht="24.75">
      <c r="A10" s="28" t="s">
        <v>228</v>
      </c>
      <c r="B10" s="86" t="s">
        <v>195</v>
      </c>
      <c r="C10" s="87">
        <f>เงินฝากธนาคารและรายได้ค้างรับ!C12</f>
        <v>0</v>
      </c>
      <c r="D10" s="87"/>
    </row>
    <row r="11" spans="1:4" s="14" customFormat="1" ht="24.75">
      <c r="A11" s="28" t="s">
        <v>229</v>
      </c>
      <c r="B11" s="86" t="s">
        <v>195</v>
      </c>
      <c r="C11" s="87">
        <f>เงินฝากธนาคารและรายได้ค้างรับ!C13</f>
        <v>0</v>
      </c>
      <c r="D11" s="33"/>
    </row>
    <row r="12" spans="1:4" s="14" customFormat="1" ht="24.75">
      <c r="A12" s="28" t="s">
        <v>230</v>
      </c>
      <c r="B12" s="86" t="s">
        <v>194</v>
      </c>
      <c r="C12" s="94">
        <v>54085.5</v>
      </c>
      <c r="D12" s="33"/>
    </row>
    <row r="13" spans="1:4" s="14" customFormat="1" ht="24.75">
      <c r="A13" s="28" t="s">
        <v>231</v>
      </c>
      <c r="B13" s="86" t="s">
        <v>194</v>
      </c>
      <c r="C13" s="94">
        <v>10302960.76</v>
      </c>
      <c r="D13" s="33"/>
    </row>
    <row r="14" spans="1:4" s="14" customFormat="1" ht="24.75">
      <c r="A14" s="28" t="s">
        <v>232</v>
      </c>
      <c r="B14" s="86" t="s">
        <v>194</v>
      </c>
      <c r="C14" s="94">
        <v>43778.85</v>
      </c>
      <c r="D14" s="33"/>
    </row>
    <row r="15" spans="1:4" s="14" customFormat="1" ht="24.75">
      <c r="A15" s="28" t="s">
        <v>233</v>
      </c>
      <c r="B15" s="86" t="s">
        <v>195</v>
      </c>
      <c r="C15" s="94">
        <f>เงินฝากธนาคารและรายได้ค้างรับ!C17</f>
        <v>0</v>
      </c>
      <c r="D15" s="33"/>
    </row>
    <row r="16" spans="1:4" s="14" customFormat="1" ht="24.75">
      <c r="A16" s="28" t="s">
        <v>399</v>
      </c>
      <c r="B16" s="86" t="s">
        <v>363</v>
      </c>
      <c r="C16" s="94">
        <v>10000000</v>
      </c>
      <c r="D16" s="33"/>
    </row>
    <row r="17" spans="1:4" ht="24.75">
      <c r="A17" s="28" t="s">
        <v>8</v>
      </c>
      <c r="B17" s="84" t="s">
        <v>196</v>
      </c>
      <c r="C17" s="94">
        <v>77762.86</v>
      </c>
      <c r="D17" s="87"/>
    </row>
    <row r="18" spans="1:4" ht="24.75">
      <c r="A18" s="28" t="s">
        <v>400</v>
      </c>
      <c r="B18" s="84" t="s">
        <v>364</v>
      </c>
      <c r="C18" s="94">
        <v>25518.75</v>
      </c>
      <c r="D18" s="87"/>
    </row>
    <row r="19" spans="1:4" ht="24.75">
      <c r="A19" s="28" t="s">
        <v>247</v>
      </c>
      <c r="B19" s="84"/>
      <c r="C19" s="94">
        <v>1727584</v>
      </c>
      <c r="D19" s="87"/>
    </row>
    <row r="20" spans="1:4" ht="24.75">
      <c r="A20" s="28" t="s">
        <v>7</v>
      </c>
      <c r="B20" s="84"/>
      <c r="C20" s="94">
        <v>42400</v>
      </c>
      <c r="D20" s="87"/>
    </row>
    <row r="21" spans="1:4" ht="24.75">
      <c r="A21" s="28" t="s">
        <v>101</v>
      </c>
      <c r="B21" s="84"/>
      <c r="C21" s="94">
        <v>42400</v>
      </c>
      <c r="D21" s="94"/>
    </row>
    <row r="22" spans="1:4" ht="24.75">
      <c r="A22" s="28" t="s">
        <v>34</v>
      </c>
      <c r="B22" s="84"/>
      <c r="C22" s="87"/>
      <c r="D22" s="94">
        <v>10131317.16</v>
      </c>
    </row>
    <row r="23" spans="1:4" ht="24.75">
      <c r="A23" s="28" t="s">
        <v>35</v>
      </c>
      <c r="B23" s="84"/>
      <c r="C23" s="87"/>
      <c r="D23" s="94">
        <v>12970568.45</v>
      </c>
    </row>
    <row r="24" spans="1:6" ht="24.75">
      <c r="A24" s="28" t="s">
        <v>200</v>
      </c>
      <c r="B24" s="84"/>
      <c r="C24" s="87"/>
      <c r="D24" s="94">
        <v>2457434.37</v>
      </c>
      <c r="E24" s="14"/>
      <c r="F24" s="15"/>
    </row>
    <row r="25" spans="1:6" ht="24.75">
      <c r="A25" s="28" t="s">
        <v>422</v>
      </c>
      <c r="B25" s="84"/>
      <c r="C25" s="87"/>
      <c r="D25" s="94">
        <v>39041</v>
      </c>
      <c r="E25" s="14"/>
      <c r="F25" s="15"/>
    </row>
    <row r="26" spans="1:6" ht="24.75">
      <c r="A26" s="28" t="s">
        <v>201</v>
      </c>
      <c r="B26" s="84"/>
      <c r="C26" s="87"/>
      <c r="D26" s="94">
        <v>271894.68</v>
      </c>
      <c r="F26" s="15"/>
    </row>
    <row r="27" spans="1:6" ht="24.75">
      <c r="A27" s="28" t="s">
        <v>102</v>
      </c>
      <c r="B27" s="84"/>
      <c r="C27" s="87"/>
      <c r="D27" s="94">
        <v>42400</v>
      </c>
      <c r="F27" s="15"/>
    </row>
    <row r="28" spans="1:6" ht="24.75">
      <c r="A28" s="28"/>
      <c r="B28" s="84"/>
      <c r="C28" s="88">
        <f>SUM(C5:C27)</f>
        <v>25912655.659999996</v>
      </c>
      <c r="D28" s="88">
        <f>SUM(D22:D27)</f>
        <v>25912655.66</v>
      </c>
      <c r="F28" s="15"/>
    </row>
    <row r="29" spans="1:6" ht="20.25" customHeight="1">
      <c r="A29" s="54"/>
      <c r="B29" s="89"/>
      <c r="C29" s="54"/>
      <c r="D29" s="54"/>
      <c r="F29" s="15"/>
    </row>
    <row r="30" spans="1:6" ht="24.75">
      <c r="A30" s="191" t="s">
        <v>430</v>
      </c>
      <c r="B30" s="54"/>
      <c r="C30" s="54"/>
      <c r="D30" s="54"/>
      <c r="F30" s="15"/>
    </row>
    <row r="31" spans="1:6" ht="9.75" customHeight="1">
      <c r="A31" s="54"/>
      <c r="B31" s="54"/>
      <c r="C31" s="54"/>
      <c r="D31" s="90"/>
      <c r="F31" s="15"/>
    </row>
    <row r="32" spans="1:4" ht="24.75">
      <c r="A32" s="54" t="s">
        <v>297</v>
      </c>
      <c r="B32" s="54"/>
      <c r="C32" s="54"/>
      <c r="D32" s="90"/>
    </row>
    <row r="33" spans="1:4" ht="11.25" customHeight="1">
      <c r="A33" s="54"/>
      <c r="B33" s="54"/>
      <c r="C33" s="54"/>
      <c r="D33" s="90"/>
    </row>
    <row r="34" spans="1:4" ht="18.75" customHeight="1">
      <c r="A34" s="54" t="s">
        <v>429</v>
      </c>
      <c r="B34" s="54"/>
      <c r="C34" s="54"/>
      <c r="D34" s="90"/>
    </row>
    <row r="35" spans="1:4" ht="24.75">
      <c r="A35" s="54"/>
      <c r="B35" s="54"/>
      <c r="C35" s="54"/>
      <c r="D35" s="54"/>
    </row>
  </sheetData>
  <sheetProtection/>
  <mergeCells count="3">
    <mergeCell ref="A1:D1"/>
    <mergeCell ref="A2:D2"/>
    <mergeCell ref="A3:D3"/>
  </mergeCells>
  <printOptions horizontalCentered="1"/>
  <pageMargins left="0.27" right="0" top="0.33" bottom="0" header="0.2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C56" sqref="C56"/>
    </sheetView>
  </sheetViews>
  <sheetFormatPr defaultColWidth="9.140625" defaultRowHeight="15"/>
  <cols>
    <col min="1" max="1" width="6.140625" style="55" customWidth="1"/>
    <col min="2" max="2" width="5.7109375" style="55" customWidth="1"/>
    <col min="3" max="3" width="28.421875" style="55" customWidth="1"/>
    <col min="4" max="4" width="9.00390625" style="122" customWidth="1"/>
    <col min="5" max="5" width="9.00390625" style="55" customWidth="1"/>
    <col min="6" max="6" width="7.7109375" style="55" customWidth="1"/>
    <col min="7" max="7" width="15.00390625" style="91" customWidth="1"/>
    <col min="8" max="8" width="9.00390625" style="55" customWidth="1"/>
    <col min="9" max="9" width="14.8515625" style="55" bestFit="1" customWidth="1"/>
    <col min="10" max="10" width="9.00390625" style="55" customWidth="1"/>
    <col min="11" max="11" width="17.28125" style="55" customWidth="1"/>
    <col min="12" max="16384" width="9.00390625" style="55" customWidth="1"/>
  </cols>
  <sheetData>
    <row r="1" spans="1:7" s="120" customFormat="1" ht="22.5">
      <c r="A1" s="208" t="s">
        <v>234</v>
      </c>
      <c r="B1" s="208"/>
      <c r="C1" s="208"/>
      <c r="D1" s="208"/>
      <c r="E1" s="209"/>
      <c r="F1" s="209"/>
      <c r="G1" s="209"/>
    </row>
    <row r="2" spans="1:7" s="120" customFormat="1" ht="22.5">
      <c r="A2" s="208" t="s">
        <v>0</v>
      </c>
      <c r="B2" s="208"/>
      <c r="C2" s="208"/>
      <c r="D2" s="208"/>
      <c r="E2" s="209"/>
      <c r="F2" s="209"/>
      <c r="G2" s="209"/>
    </row>
    <row r="3" spans="1:7" s="120" customFormat="1" ht="22.5">
      <c r="A3" s="208" t="s">
        <v>401</v>
      </c>
      <c r="B3" s="208"/>
      <c r="C3" s="208"/>
      <c r="D3" s="208"/>
      <c r="E3" s="209"/>
      <c r="F3" s="209"/>
      <c r="G3" s="209"/>
    </row>
    <row r="4" spans="1:4" ht="22.5">
      <c r="A4" s="121"/>
      <c r="B4" s="121"/>
      <c r="C4" s="121"/>
      <c r="D4" s="121" t="s">
        <v>18</v>
      </c>
    </row>
    <row r="5" spans="1:7" ht="23.25" thickBot="1">
      <c r="A5" s="92" t="s">
        <v>1</v>
      </c>
      <c r="B5" s="92"/>
      <c r="C5" s="92"/>
      <c r="D5" s="122">
        <v>2</v>
      </c>
      <c r="G5" s="192">
        <v>28517892.54</v>
      </c>
    </row>
    <row r="6" spans="1:3" ht="23.25" thickTop="1">
      <c r="A6" s="123" t="s">
        <v>2</v>
      </c>
      <c r="B6" s="92"/>
      <c r="C6" s="92"/>
    </row>
    <row r="7" spans="2:3" ht="22.5">
      <c r="B7" s="92" t="s">
        <v>3</v>
      </c>
      <c r="C7" s="92"/>
    </row>
    <row r="8" spans="3:7" ht="22.5">
      <c r="C8" s="55" t="s">
        <v>4</v>
      </c>
      <c r="D8" s="122">
        <v>3</v>
      </c>
      <c r="G8" s="124">
        <v>23996990.05</v>
      </c>
    </row>
    <row r="9" spans="3:7" ht="22.5">
      <c r="C9" s="55" t="s">
        <v>5</v>
      </c>
      <c r="G9" s="91">
        <v>0</v>
      </c>
    </row>
    <row r="10" spans="3:7" ht="22.5">
      <c r="C10" s="55" t="s">
        <v>6</v>
      </c>
      <c r="G10" s="91">
        <v>0</v>
      </c>
    </row>
    <row r="11" spans="3:7" ht="22.5">
      <c r="C11" s="55" t="s">
        <v>7</v>
      </c>
      <c r="D11" s="122">
        <v>4</v>
      </c>
      <c r="G11" s="91">
        <v>42400</v>
      </c>
    </row>
    <row r="12" spans="3:7" ht="22.5">
      <c r="C12" s="55" t="s">
        <v>8</v>
      </c>
      <c r="D12" s="122">
        <v>5</v>
      </c>
      <c r="G12" s="91">
        <v>77762.86</v>
      </c>
    </row>
    <row r="13" spans="3:7" ht="22.5">
      <c r="C13" s="55" t="s">
        <v>9</v>
      </c>
      <c r="D13" s="122">
        <v>6</v>
      </c>
      <c r="G13" s="91">
        <f>'[1]ลูกหนี้รายได้อื่น'!E18</f>
        <v>0</v>
      </c>
    </row>
    <row r="14" spans="3:7" ht="22.5">
      <c r="C14" s="55" t="s">
        <v>290</v>
      </c>
      <c r="G14" s="124">
        <v>1727584</v>
      </c>
    </row>
    <row r="15" spans="3:7" ht="22.5">
      <c r="C15" s="55" t="s">
        <v>10</v>
      </c>
      <c r="G15" s="124">
        <v>25518.75</v>
      </c>
    </row>
    <row r="16" ht="22.5">
      <c r="C16" s="55" t="s">
        <v>11</v>
      </c>
    </row>
    <row r="17" spans="3:7" ht="22.5">
      <c r="C17" s="92" t="s">
        <v>12</v>
      </c>
      <c r="G17" s="125">
        <f>SUM(G8:G16)</f>
        <v>25870255.66</v>
      </c>
    </row>
    <row r="18" spans="2:3" ht="22.5">
      <c r="B18" s="92" t="s">
        <v>13</v>
      </c>
      <c r="C18" s="92"/>
    </row>
    <row r="19" spans="3:7" ht="22.5">
      <c r="C19" s="55" t="s">
        <v>14</v>
      </c>
      <c r="G19" s="91">
        <v>0</v>
      </c>
    </row>
    <row r="20" spans="3:7" ht="22.5">
      <c r="C20" s="55" t="s">
        <v>15</v>
      </c>
      <c r="G20" s="91">
        <v>0</v>
      </c>
    </row>
    <row r="21" spans="3:7" ht="22.5">
      <c r="C21" s="55" t="s">
        <v>16</v>
      </c>
      <c r="G21" s="91">
        <v>0</v>
      </c>
    </row>
    <row r="22" spans="3:7" ht="22.5">
      <c r="C22" s="92" t="s">
        <v>17</v>
      </c>
      <c r="G22" s="126">
        <v>0</v>
      </c>
    </row>
    <row r="23" spans="1:7" s="120" customFormat="1" ht="23.25" thickBot="1">
      <c r="A23" s="127" t="s">
        <v>19</v>
      </c>
      <c r="B23" s="127"/>
      <c r="D23" s="128"/>
      <c r="G23" s="129">
        <f>G17+G22</f>
        <v>25870255.66</v>
      </c>
    </row>
    <row r="24" spans="1:7" s="120" customFormat="1" ht="23.25" thickTop="1">
      <c r="A24" s="127"/>
      <c r="B24" s="127"/>
      <c r="D24" s="128"/>
      <c r="G24" s="130"/>
    </row>
    <row r="25" spans="1:7" s="120" customFormat="1" ht="22.5">
      <c r="A25" s="127"/>
      <c r="B25" s="127"/>
      <c r="D25" s="128"/>
      <c r="G25" s="130"/>
    </row>
    <row r="26" spans="1:7" ht="23.25" thickBot="1">
      <c r="A26" s="92" t="s">
        <v>20</v>
      </c>
      <c r="B26" s="92"/>
      <c r="C26" s="92"/>
      <c r="D26" s="122">
        <v>2</v>
      </c>
      <c r="G26" s="192">
        <v>28517892.54</v>
      </c>
    </row>
    <row r="27" spans="1:3" ht="23.25" thickTop="1">
      <c r="A27" s="123" t="s">
        <v>21</v>
      </c>
      <c r="B27" s="92"/>
      <c r="C27" s="92"/>
    </row>
    <row r="28" spans="2:3" ht="22.5">
      <c r="B28" s="210" t="s">
        <v>22</v>
      </c>
      <c r="C28" s="210"/>
    </row>
    <row r="29" spans="3:7" ht="22.5">
      <c r="C29" s="55" t="s">
        <v>23</v>
      </c>
      <c r="D29" s="122">
        <v>7</v>
      </c>
      <c r="G29" s="91">
        <v>271894.68</v>
      </c>
    </row>
    <row r="30" spans="3:7" ht="22.5">
      <c r="C30" s="55" t="s">
        <v>24</v>
      </c>
      <c r="G30" s="91">
        <v>0</v>
      </c>
    </row>
    <row r="31" spans="3:7" ht="22.5">
      <c r="C31" s="55" t="s">
        <v>25</v>
      </c>
      <c r="G31" s="91">
        <v>0</v>
      </c>
    </row>
    <row r="32" spans="3:7" ht="22.5">
      <c r="C32" s="55" t="s">
        <v>26</v>
      </c>
      <c r="D32" s="122">
        <v>8</v>
      </c>
      <c r="G32" s="124">
        <v>2457434.37</v>
      </c>
    </row>
    <row r="33" spans="3:7" ht="22.5">
      <c r="C33" s="55" t="s">
        <v>423</v>
      </c>
      <c r="G33" s="124">
        <v>39041</v>
      </c>
    </row>
    <row r="34" spans="3:7" ht="22.5">
      <c r="C34" s="55" t="s">
        <v>27</v>
      </c>
      <c r="G34" s="91">
        <v>0</v>
      </c>
    </row>
    <row r="35" spans="3:7" ht="22.5">
      <c r="C35" s="92" t="s">
        <v>28</v>
      </c>
      <c r="G35" s="125">
        <f>SUM(G29:G34)</f>
        <v>2768370.0500000003</v>
      </c>
    </row>
    <row r="36" spans="2:3" ht="22.5">
      <c r="B36" s="210" t="s">
        <v>29</v>
      </c>
      <c r="C36" s="210"/>
    </row>
    <row r="37" spans="3:7" ht="22.5">
      <c r="C37" s="55" t="s">
        <v>30</v>
      </c>
      <c r="G37" s="91">
        <v>0</v>
      </c>
    </row>
    <row r="38" spans="3:7" ht="22.5">
      <c r="C38" s="55" t="s">
        <v>31</v>
      </c>
      <c r="G38" s="91">
        <v>0</v>
      </c>
    </row>
    <row r="39" spans="3:7" ht="22.5">
      <c r="C39" s="92" t="s">
        <v>32</v>
      </c>
      <c r="G39" s="93">
        <f>SUM(G37:G38)</f>
        <v>0</v>
      </c>
    </row>
    <row r="40" spans="2:7" ht="22.5">
      <c r="B40" s="92"/>
      <c r="C40" s="92" t="s">
        <v>33</v>
      </c>
      <c r="G40" s="125">
        <f>G35+G39</f>
        <v>2768370.0500000003</v>
      </c>
    </row>
    <row r="41" ht="22.5">
      <c r="A41" s="92" t="s">
        <v>34</v>
      </c>
    </row>
    <row r="42" spans="2:7" s="120" customFormat="1" ht="22.5">
      <c r="B42" s="120" t="s">
        <v>34</v>
      </c>
      <c r="D42" s="128">
        <v>9</v>
      </c>
      <c r="G42" s="124">
        <v>10131317.16</v>
      </c>
    </row>
    <row r="43" spans="2:7" s="120" customFormat="1" ht="22.5">
      <c r="B43" s="120" t="s">
        <v>35</v>
      </c>
      <c r="D43" s="128">
        <v>10</v>
      </c>
      <c r="G43" s="124">
        <v>12970568.45</v>
      </c>
    </row>
    <row r="44" spans="2:9" ht="22.5">
      <c r="B44" s="211" t="s">
        <v>36</v>
      </c>
      <c r="C44" s="211"/>
      <c r="G44" s="131">
        <f>SUM(G42:G43)</f>
        <v>23101885.61</v>
      </c>
      <c r="I44" s="120"/>
    </row>
    <row r="45" spans="1:9" ht="23.25" thickBot="1">
      <c r="A45" s="92" t="s">
        <v>37</v>
      </c>
      <c r="B45" s="92"/>
      <c r="G45" s="129">
        <f>G44+G40</f>
        <v>25870255.66</v>
      </c>
      <c r="I45" s="120"/>
    </row>
    <row r="46" ht="23.25" thickTop="1">
      <c r="I46" s="120"/>
    </row>
    <row r="47" spans="3:5" ht="22.5">
      <c r="C47" s="201" t="s">
        <v>424</v>
      </c>
      <c r="D47" s="55"/>
      <c r="E47" s="122"/>
    </row>
    <row r="48" spans="3:5" ht="22.5">
      <c r="C48" s="201"/>
      <c r="D48" s="55"/>
      <c r="E48" s="122"/>
    </row>
    <row r="49" spans="1:4" s="10" customFormat="1" ht="24.75">
      <c r="A49" s="191" t="s">
        <v>430</v>
      </c>
      <c r="B49" s="54"/>
      <c r="C49" s="54"/>
      <c r="D49" s="54"/>
    </row>
    <row r="50" spans="1:4" s="10" customFormat="1" ht="9.75" customHeight="1">
      <c r="A50" s="54"/>
      <c r="B50" s="54"/>
      <c r="C50" s="54"/>
      <c r="D50" s="90"/>
    </row>
    <row r="51" spans="1:4" s="10" customFormat="1" ht="24.75">
      <c r="A51" s="54" t="s">
        <v>297</v>
      </c>
      <c r="B51" s="54"/>
      <c r="C51" s="54"/>
      <c r="D51" s="90"/>
    </row>
    <row r="52" spans="1:4" s="10" customFormat="1" ht="11.25" customHeight="1">
      <c r="A52" s="54"/>
      <c r="B52" s="54"/>
      <c r="C52" s="54"/>
      <c r="D52" s="90"/>
    </row>
    <row r="53" spans="1:4" s="10" customFormat="1" ht="18.75" customHeight="1">
      <c r="A53" s="54" t="s">
        <v>429</v>
      </c>
      <c r="B53" s="54"/>
      <c r="C53" s="54"/>
      <c r="D53" s="90"/>
    </row>
  </sheetData>
  <sheetProtection/>
  <mergeCells count="6">
    <mergeCell ref="A1:G1"/>
    <mergeCell ref="A2:G2"/>
    <mergeCell ref="A3:G3"/>
    <mergeCell ref="B28:C28"/>
    <mergeCell ref="B36:C36"/>
    <mergeCell ref="B44:C44"/>
  </mergeCells>
  <printOptions horizontalCentered="1"/>
  <pageMargins left="1.29" right="0" top="0.2" bottom="0" header="0.14" footer="0.1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F38" sqref="F38"/>
    </sheetView>
  </sheetViews>
  <sheetFormatPr defaultColWidth="9.140625" defaultRowHeight="15"/>
  <cols>
    <col min="1" max="1" width="40.7109375" style="14" customWidth="1"/>
    <col min="2" max="2" width="16.7109375" style="15" customWidth="1"/>
    <col min="3" max="3" width="20.421875" style="14" customWidth="1"/>
    <col min="4" max="4" width="19.00390625" style="14" customWidth="1"/>
    <col min="5" max="5" width="14.7109375" style="14" customWidth="1"/>
    <col min="6" max="6" width="12.28125" style="14" customWidth="1"/>
    <col min="7" max="7" width="11.57421875" style="14" customWidth="1"/>
    <col min="8" max="8" width="14.421875" style="15" customWidth="1"/>
    <col min="9" max="16384" width="9.00390625" style="14" customWidth="1"/>
  </cols>
  <sheetData>
    <row r="1" spans="1:8" s="96" customFormat="1" ht="24.75">
      <c r="A1" s="212" t="s">
        <v>370</v>
      </c>
      <c r="B1" s="212"/>
      <c r="C1" s="212"/>
      <c r="D1" s="213"/>
      <c r="E1" s="132"/>
      <c r="F1" s="132"/>
      <c r="G1" s="132"/>
      <c r="H1" s="119"/>
    </row>
    <row r="2" spans="1:8" s="96" customFormat="1" ht="24.75">
      <c r="A2" s="212" t="s">
        <v>62</v>
      </c>
      <c r="B2" s="212"/>
      <c r="C2" s="212"/>
      <c r="D2" s="213"/>
      <c r="E2" s="132"/>
      <c r="F2" s="132"/>
      <c r="G2" s="132"/>
      <c r="H2" s="119"/>
    </row>
    <row r="3" spans="1:8" s="96" customFormat="1" ht="24.75">
      <c r="A3" s="212" t="s">
        <v>402</v>
      </c>
      <c r="B3" s="212"/>
      <c r="C3" s="212"/>
      <c r="D3" s="213"/>
      <c r="E3" s="132"/>
      <c r="F3" s="132"/>
      <c r="G3" s="132"/>
      <c r="H3" s="119"/>
    </row>
    <row r="4" spans="1:7" ht="21" customHeight="1">
      <c r="A4" s="133" t="s">
        <v>38</v>
      </c>
      <c r="B4" s="134"/>
      <c r="C4" s="135"/>
      <c r="D4" s="135"/>
      <c r="E4" s="135"/>
      <c r="F4" s="135"/>
      <c r="G4" s="135"/>
    </row>
    <row r="5" spans="1:7" ht="24.75">
      <c r="A5" s="214" t="s">
        <v>39</v>
      </c>
      <c r="B5" s="215" t="s">
        <v>40</v>
      </c>
      <c r="C5" s="214" t="s">
        <v>41</v>
      </c>
      <c r="D5" s="214"/>
      <c r="E5" s="135"/>
      <c r="F5" s="135"/>
      <c r="G5" s="135"/>
    </row>
    <row r="6" spans="1:7" ht="24.75">
      <c r="A6" s="214"/>
      <c r="B6" s="215"/>
      <c r="C6" s="136" t="s">
        <v>42</v>
      </c>
      <c r="D6" s="137" t="s">
        <v>43</v>
      </c>
      <c r="E6" s="135"/>
      <c r="F6" s="135"/>
      <c r="G6" s="135"/>
    </row>
    <row r="7" spans="1:7" ht="24.75">
      <c r="A7" s="138" t="s">
        <v>44</v>
      </c>
      <c r="B7" s="139"/>
      <c r="C7" s="140"/>
      <c r="D7" s="141"/>
      <c r="E7" s="135"/>
      <c r="F7" s="135"/>
      <c r="G7" s="135"/>
    </row>
    <row r="8" spans="1:7" ht="24.75">
      <c r="A8" s="142" t="s">
        <v>300</v>
      </c>
      <c r="B8" s="143">
        <v>1415000</v>
      </c>
      <c r="C8" s="144" t="s">
        <v>58</v>
      </c>
      <c r="D8" s="145">
        <v>5687370</v>
      </c>
      <c r="E8" s="135"/>
      <c r="F8" s="135"/>
      <c r="G8" s="135"/>
    </row>
    <row r="9" spans="1:7" ht="24.75">
      <c r="A9" s="142" t="s">
        <v>371</v>
      </c>
      <c r="B9" s="181">
        <v>1151700</v>
      </c>
      <c r="C9" s="144" t="s">
        <v>34</v>
      </c>
      <c r="D9" s="145">
        <v>5286569</v>
      </c>
      <c r="E9" s="135"/>
      <c r="F9" s="135"/>
      <c r="G9" s="135"/>
    </row>
    <row r="10" spans="1:7" ht="24.75">
      <c r="A10" s="146" t="s">
        <v>301</v>
      </c>
      <c r="B10" s="143">
        <v>50000</v>
      </c>
      <c r="C10" s="144" t="s">
        <v>35</v>
      </c>
      <c r="D10" s="145">
        <v>0</v>
      </c>
      <c r="E10" s="135"/>
      <c r="F10" s="135"/>
      <c r="G10" s="135"/>
    </row>
    <row r="11" spans="1:7" ht="24.75">
      <c r="A11" s="147" t="s">
        <v>303</v>
      </c>
      <c r="B11" s="181">
        <v>629000</v>
      </c>
      <c r="C11" s="144" t="s">
        <v>59</v>
      </c>
      <c r="D11" s="145">
        <v>0</v>
      </c>
      <c r="E11" s="135"/>
      <c r="F11" s="135"/>
      <c r="G11" s="135"/>
    </row>
    <row r="12" spans="1:7" ht="24.75">
      <c r="A12" s="147" t="s">
        <v>202</v>
      </c>
      <c r="B12" s="143" t="s">
        <v>118</v>
      </c>
      <c r="C12" s="144" t="s">
        <v>294</v>
      </c>
      <c r="D12" s="145">
        <v>3000</v>
      </c>
      <c r="E12" s="135"/>
      <c r="F12" s="135"/>
      <c r="G12" s="135"/>
    </row>
    <row r="13" spans="1:7" ht="24.75">
      <c r="A13" s="147" t="s">
        <v>304</v>
      </c>
      <c r="B13" s="143">
        <v>100000</v>
      </c>
      <c r="C13" s="144" t="s">
        <v>244</v>
      </c>
      <c r="D13" s="145">
        <v>8224189.08</v>
      </c>
      <c r="E13" s="135"/>
      <c r="F13" s="135"/>
      <c r="G13" s="135"/>
    </row>
    <row r="14" spans="1:7" ht="24.75">
      <c r="A14" s="147" t="s">
        <v>305</v>
      </c>
      <c r="B14" s="143">
        <v>36594</v>
      </c>
      <c r="C14" s="144" t="s">
        <v>291</v>
      </c>
      <c r="D14" s="145">
        <v>9316764.46</v>
      </c>
      <c r="E14" s="135"/>
      <c r="F14" s="135"/>
      <c r="G14" s="135"/>
    </row>
    <row r="15" spans="1:7" ht="24.75">
      <c r="A15" s="147" t="s">
        <v>372</v>
      </c>
      <c r="B15" s="181">
        <v>22000</v>
      </c>
      <c r="C15" s="144"/>
      <c r="D15" s="148"/>
      <c r="E15" s="135"/>
      <c r="F15" s="135"/>
      <c r="G15" s="135"/>
    </row>
    <row r="16" spans="1:7" ht="24.75">
      <c r="A16" s="147" t="s">
        <v>203</v>
      </c>
      <c r="B16" s="143" t="s">
        <v>118</v>
      </c>
      <c r="C16" s="144"/>
      <c r="D16" s="144"/>
      <c r="E16" s="135"/>
      <c r="F16" s="135">
        <f>SUM(F14:F15)</f>
        <v>0</v>
      </c>
      <c r="G16" s="135"/>
    </row>
    <row r="17" spans="1:7" ht="24.75">
      <c r="A17" s="147" t="s">
        <v>366</v>
      </c>
      <c r="B17" s="181">
        <v>528458.4</v>
      </c>
      <c r="C17" s="144"/>
      <c r="D17" s="144"/>
      <c r="E17" s="135"/>
      <c r="F17" s="135"/>
      <c r="G17" s="135"/>
    </row>
    <row r="18" spans="1:7" ht="24.75">
      <c r="A18" s="147" t="s">
        <v>373</v>
      </c>
      <c r="B18" s="143">
        <v>112000</v>
      </c>
      <c r="C18" s="144"/>
      <c r="D18" s="144"/>
      <c r="E18" s="135"/>
      <c r="F18" s="135"/>
      <c r="G18" s="135"/>
    </row>
    <row r="19" spans="1:7" ht="24.75">
      <c r="A19" s="147" t="s">
        <v>302</v>
      </c>
      <c r="B19" s="143">
        <v>98000</v>
      </c>
      <c r="C19" s="144"/>
      <c r="D19" s="144"/>
      <c r="E19" s="135"/>
      <c r="F19" s="135"/>
      <c r="G19" s="135"/>
    </row>
    <row r="20" spans="1:7" ht="24.75">
      <c r="A20" s="147" t="s">
        <v>367</v>
      </c>
      <c r="B20" s="143">
        <v>9544264.46</v>
      </c>
      <c r="C20" s="144"/>
      <c r="D20" s="144"/>
      <c r="E20" s="135"/>
      <c r="F20" s="135"/>
      <c r="G20" s="135"/>
    </row>
    <row r="21" spans="1:7" ht="24.75">
      <c r="A21" s="147" t="s">
        <v>368</v>
      </c>
      <c r="B21" s="143">
        <v>3310000</v>
      </c>
      <c r="C21" s="144"/>
      <c r="D21" s="144"/>
      <c r="E21" s="135"/>
      <c r="F21" s="135"/>
      <c r="G21" s="135"/>
    </row>
    <row r="22" spans="1:7" ht="24.75">
      <c r="A22" s="147" t="s">
        <v>369</v>
      </c>
      <c r="B22" s="181">
        <v>1294500</v>
      </c>
      <c r="C22" s="144"/>
      <c r="D22" s="144"/>
      <c r="E22" s="135"/>
      <c r="F22" s="135"/>
      <c r="G22" s="135"/>
    </row>
    <row r="23" spans="1:7" ht="24.75">
      <c r="A23" s="149" t="s">
        <v>60</v>
      </c>
      <c r="B23" s="150">
        <f>SUM(B8:B22)</f>
        <v>18291516.86</v>
      </c>
      <c r="C23" s="144"/>
      <c r="D23" s="144"/>
      <c r="E23" s="135"/>
      <c r="F23" s="135"/>
      <c r="G23" s="135"/>
    </row>
    <row r="24" spans="1:7" ht="24.75">
      <c r="A24" s="151" t="s">
        <v>45</v>
      </c>
      <c r="B24" s="148"/>
      <c r="C24" s="144"/>
      <c r="D24" s="144"/>
      <c r="E24" s="135"/>
      <c r="F24" s="135"/>
      <c r="G24" s="135"/>
    </row>
    <row r="25" spans="1:7" ht="24.75">
      <c r="A25" s="144" t="s">
        <v>46</v>
      </c>
      <c r="B25" s="148">
        <v>4463500</v>
      </c>
      <c r="C25" s="144"/>
      <c r="D25" s="144"/>
      <c r="E25" s="135"/>
      <c r="F25" s="135"/>
      <c r="G25" s="135"/>
    </row>
    <row r="26" spans="1:7" ht="24.75">
      <c r="A26" s="144" t="s">
        <v>47</v>
      </c>
      <c r="B26" s="145">
        <v>4099728.68</v>
      </c>
      <c r="C26" s="144"/>
      <c r="D26" s="144"/>
      <c r="E26" s="135"/>
      <c r="F26" s="135"/>
      <c r="G26" s="135"/>
    </row>
    <row r="27" spans="1:7" ht="24.75">
      <c r="A27" s="144" t="s">
        <v>48</v>
      </c>
      <c r="B27" s="148">
        <v>148300</v>
      </c>
      <c r="C27" s="144"/>
      <c r="D27" s="144"/>
      <c r="E27" s="135"/>
      <c r="F27" s="135"/>
      <c r="G27" s="135"/>
    </row>
    <row r="28" spans="1:7" ht="24.75">
      <c r="A28" s="144" t="s">
        <v>49</v>
      </c>
      <c r="B28" s="148">
        <v>0</v>
      </c>
      <c r="C28" s="144"/>
      <c r="D28" s="144"/>
      <c r="E28" s="135"/>
      <c r="F28" s="135"/>
      <c r="G28" s="135"/>
    </row>
    <row r="29" spans="1:7" ht="24.75">
      <c r="A29" s="144" t="s">
        <v>50</v>
      </c>
      <c r="B29" s="148">
        <v>0</v>
      </c>
      <c r="C29" s="144"/>
      <c r="D29" s="144"/>
      <c r="E29" s="135"/>
      <c r="F29" s="135"/>
      <c r="G29" s="135"/>
    </row>
    <row r="30" spans="1:7" ht="24.75">
      <c r="A30" s="144" t="s">
        <v>51</v>
      </c>
      <c r="B30" s="148">
        <v>12000</v>
      </c>
      <c r="C30" s="144"/>
      <c r="D30" s="144"/>
      <c r="E30" s="135"/>
      <c r="F30" s="135"/>
      <c r="G30" s="135"/>
    </row>
    <row r="31" spans="1:7" ht="24.75">
      <c r="A31" s="144" t="s">
        <v>52</v>
      </c>
      <c r="B31" s="148">
        <v>0</v>
      </c>
      <c r="C31" s="144"/>
      <c r="D31" s="144"/>
      <c r="E31" s="135"/>
      <c r="F31" s="135"/>
      <c r="G31" s="135"/>
    </row>
    <row r="32" spans="1:7" ht="24.75">
      <c r="A32" s="144" t="s">
        <v>53</v>
      </c>
      <c r="B32" s="148">
        <v>101500</v>
      </c>
      <c r="C32" s="144"/>
      <c r="D32" s="144"/>
      <c r="E32" s="135"/>
      <c r="F32" s="135"/>
      <c r="G32" s="135"/>
    </row>
    <row r="33" spans="1:7" ht="24.75">
      <c r="A33" s="144" t="s">
        <v>54</v>
      </c>
      <c r="B33" s="148">
        <v>0</v>
      </c>
      <c r="C33" s="144"/>
      <c r="D33" s="144"/>
      <c r="E33" s="135"/>
      <c r="F33" s="135"/>
      <c r="G33" s="135"/>
    </row>
    <row r="34" spans="1:7" ht="24.75">
      <c r="A34" s="144" t="s">
        <v>55</v>
      </c>
      <c r="B34" s="148">
        <v>0</v>
      </c>
      <c r="C34" s="144"/>
      <c r="D34" s="144"/>
      <c r="E34" s="135"/>
      <c r="F34" s="135"/>
      <c r="G34" s="135"/>
    </row>
    <row r="35" spans="1:7" ht="24.75">
      <c r="A35" s="144" t="s">
        <v>56</v>
      </c>
      <c r="B35" s="148">
        <v>664373</v>
      </c>
      <c r="C35" s="144"/>
      <c r="D35" s="144"/>
      <c r="E35" s="135"/>
      <c r="F35" s="135"/>
      <c r="G35" s="135"/>
    </row>
    <row r="36" spans="1:7" ht="24.75">
      <c r="A36" s="144" t="s">
        <v>374</v>
      </c>
      <c r="B36" s="148">
        <v>187474</v>
      </c>
      <c r="C36" s="144"/>
      <c r="D36" s="144"/>
      <c r="E36" s="135"/>
      <c r="F36" s="135"/>
      <c r="G36" s="135"/>
    </row>
    <row r="37" spans="1:7" ht="24.75">
      <c r="A37" s="144" t="s">
        <v>57</v>
      </c>
      <c r="B37" s="148">
        <v>0</v>
      </c>
      <c r="C37" s="144"/>
      <c r="D37" s="144"/>
      <c r="E37" s="135"/>
      <c r="F37" s="135"/>
      <c r="G37" s="135"/>
    </row>
    <row r="38" spans="1:7" ht="24.75">
      <c r="A38" s="144" t="s">
        <v>293</v>
      </c>
      <c r="B38" s="148">
        <v>172000</v>
      </c>
      <c r="C38" s="144"/>
      <c r="D38" s="144"/>
      <c r="E38" s="135"/>
      <c r="F38" s="135"/>
      <c r="G38" s="135"/>
    </row>
    <row r="39" spans="1:7" ht="24.75">
      <c r="A39" s="144" t="s">
        <v>375</v>
      </c>
      <c r="B39" s="148">
        <v>377500</v>
      </c>
      <c r="C39" s="144"/>
      <c r="D39" s="144"/>
      <c r="E39" s="135"/>
      <c r="F39" s="135"/>
      <c r="G39" s="135"/>
    </row>
    <row r="40" spans="1:7" ht="24.75">
      <c r="A40" s="144" t="s">
        <v>295</v>
      </c>
      <c r="B40" s="148">
        <v>0</v>
      </c>
      <c r="C40" s="144"/>
      <c r="D40" s="144"/>
      <c r="E40" s="135"/>
      <c r="F40" s="135"/>
      <c r="G40" s="135"/>
    </row>
    <row r="41" spans="1:7" ht="24.75">
      <c r="A41" s="152" t="s">
        <v>60</v>
      </c>
      <c r="B41" s="153">
        <f>SUM(B25:B40)</f>
        <v>10226375.68</v>
      </c>
      <c r="C41" s="144"/>
      <c r="D41" s="144"/>
      <c r="E41" s="135"/>
      <c r="F41" s="135"/>
      <c r="G41" s="135"/>
    </row>
    <row r="42" spans="1:7" ht="24" customHeight="1" thickBot="1">
      <c r="A42" s="154" t="s">
        <v>75</v>
      </c>
      <c r="B42" s="193">
        <f>B23+B41</f>
        <v>28517892.54</v>
      </c>
      <c r="C42" s="194"/>
      <c r="D42" s="195">
        <f>SUM(D8:D41)</f>
        <v>28517892.54</v>
      </c>
      <c r="E42" s="135"/>
      <c r="F42" s="135"/>
      <c r="G42" s="135"/>
    </row>
    <row r="43" ht="25.5" thickTop="1"/>
    <row r="45" ht="24.75">
      <c r="D45" s="15"/>
    </row>
  </sheetData>
  <sheetProtection/>
  <mergeCells count="6">
    <mergeCell ref="A3:D3"/>
    <mergeCell ref="C5:D5"/>
    <mergeCell ref="A5:A6"/>
    <mergeCell ref="B5:B6"/>
    <mergeCell ref="A1:D1"/>
    <mergeCell ref="A2:D2"/>
  </mergeCells>
  <printOptions horizontalCentered="1"/>
  <pageMargins left="0.71" right="0" top="0" bottom="0" header="0.31496062992125984" footer="0.16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9.28125" style="14" customWidth="1"/>
    <col min="2" max="2" width="54.00390625" style="14" customWidth="1"/>
    <col min="3" max="3" width="17.8515625" style="14" customWidth="1"/>
    <col min="4" max="4" width="19.140625" style="14" customWidth="1"/>
    <col min="5" max="16384" width="9.00390625" style="14" customWidth="1"/>
  </cols>
  <sheetData>
    <row r="1" spans="1:4" ht="24.75">
      <c r="A1" s="216" t="s">
        <v>292</v>
      </c>
      <c r="B1" s="216"/>
      <c r="C1" s="216"/>
      <c r="D1" s="13"/>
    </row>
    <row r="2" spans="1:4" ht="24.75">
      <c r="A2" s="216" t="s">
        <v>62</v>
      </c>
      <c r="B2" s="216"/>
      <c r="C2" s="216"/>
      <c r="D2" s="13"/>
    </row>
    <row r="3" spans="1:4" ht="24.75">
      <c r="A3" s="216" t="s">
        <v>365</v>
      </c>
      <c r="B3" s="216"/>
      <c r="C3" s="216"/>
      <c r="D3" s="13"/>
    </row>
    <row r="5" spans="1:2" ht="24.75">
      <c r="A5" s="16" t="s">
        <v>61</v>
      </c>
      <c r="B5" s="16"/>
    </row>
    <row r="6" spans="1:2" ht="24.75">
      <c r="A6" s="16"/>
      <c r="B6" s="16"/>
    </row>
    <row r="7" spans="1:3" ht="24.75">
      <c r="A7" s="26" t="s">
        <v>63</v>
      </c>
      <c r="B7" s="26" t="s">
        <v>64</v>
      </c>
      <c r="C7" s="26" t="s">
        <v>65</v>
      </c>
    </row>
    <row r="8" spans="1:3" ht="24.75">
      <c r="A8" s="27">
        <v>1</v>
      </c>
      <c r="B8" s="28" t="s">
        <v>220</v>
      </c>
      <c r="C8" s="29">
        <v>3318.01</v>
      </c>
    </row>
    <row r="9" spans="1:3" ht="24.75">
      <c r="A9" s="27">
        <v>2</v>
      </c>
      <c r="B9" s="28" t="s">
        <v>221</v>
      </c>
      <c r="C9" s="29">
        <v>0</v>
      </c>
    </row>
    <row r="10" spans="1:3" ht="24.75">
      <c r="A10" s="27">
        <f>+A9+1</f>
        <v>3</v>
      </c>
      <c r="B10" s="28" t="s">
        <v>222</v>
      </c>
      <c r="C10" s="29">
        <v>2882287.67</v>
      </c>
    </row>
    <row r="11" spans="1:3" ht="24.75">
      <c r="A11" s="27">
        <f>+A10+1</f>
        <v>4</v>
      </c>
      <c r="B11" s="28" t="s">
        <v>217</v>
      </c>
      <c r="C11" s="29">
        <v>710559.26</v>
      </c>
    </row>
    <row r="12" spans="1:3" ht="24.75">
      <c r="A12" s="27">
        <f>+A11+1</f>
        <v>5</v>
      </c>
      <c r="B12" s="28" t="s">
        <v>218</v>
      </c>
      <c r="C12" s="29">
        <v>0</v>
      </c>
    </row>
    <row r="13" spans="1:3" ht="24.75">
      <c r="A13" s="27">
        <v>6</v>
      </c>
      <c r="B13" s="28" t="s">
        <v>219</v>
      </c>
      <c r="C13" s="29">
        <v>0</v>
      </c>
    </row>
    <row r="14" spans="1:3" ht="24.75">
      <c r="A14" s="27">
        <v>7</v>
      </c>
      <c r="B14" s="28" t="s">
        <v>223</v>
      </c>
      <c r="C14" s="29">
        <v>54085.5</v>
      </c>
    </row>
    <row r="15" spans="1:3" ht="24.75">
      <c r="A15" s="27">
        <v>8</v>
      </c>
      <c r="B15" s="28" t="s">
        <v>215</v>
      </c>
      <c r="C15" s="29">
        <v>10302960.76</v>
      </c>
    </row>
    <row r="16" spans="1:3" ht="24.75">
      <c r="A16" s="27">
        <v>9</v>
      </c>
      <c r="B16" s="28" t="s">
        <v>216</v>
      </c>
      <c r="C16" s="29">
        <v>43778.85</v>
      </c>
    </row>
    <row r="17" spans="1:3" ht="24.75">
      <c r="A17" s="27">
        <v>10</v>
      </c>
      <c r="B17" s="28" t="s">
        <v>214</v>
      </c>
      <c r="C17" s="30">
        <v>0</v>
      </c>
    </row>
    <row r="18" spans="1:3" ht="24.75">
      <c r="A18" s="27">
        <v>11</v>
      </c>
      <c r="B18" s="28" t="s">
        <v>403</v>
      </c>
      <c r="C18" s="182">
        <v>10000000</v>
      </c>
    </row>
    <row r="19" spans="1:3" ht="24.75">
      <c r="A19" s="32"/>
      <c r="B19" s="26" t="s">
        <v>66</v>
      </c>
      <c r="C19" s="31">
        <f>SUM(C8:C18)</f>
        <v>23996990.049999997</v>
      </c>
    </row>
    <row r="23" ht="24.75">
      <c r="A23" s="16" t="s">
        <v>67</v>
      </c>
    </row>
    <row r="24" spans="1:2" ht="24.75">
      <c r="A24" s="16"/>
      <c r="B24" s="16"/>
    </row>
    <row r="25" spans="1:3" ht="24.75">
      <c r="A25" s="26" t="s">
        <v>63</v>
      </c>
      <c r="B25" s="26" t="s">
        <v>64</v>
      </c>
      <c r="C25" s="26" t="s">
        <v>65</v>
      </c>
    </row>
    <row r="26" spans="1:3" ht="24.75">
      <c r="A26" s="27">
        <v>1</v>
      </c>
      <c r="B26" s="28" t="s">
        <v>418</v>
      </c>
      <c r="C26" s="33">
        <v>42400</v>
      </c>
    </row>
    <row r="27" spans="1:3" ht="24.75">
      <c r="A27" s="27"/>
      <c r="B27" s="26"/>
      <c r="C27" s="34"/>
    </row>
    <row r="28" spans="1:3" ht="24.75">
      <c r="A28" s="28"/>
      <c r="B28" s="26" t="s">
        <v>66</v>
      </c>
      <c r="C28" s="31">
        <f>SUM(C26:C27)</f>
        <v>42400</v>
      </c>
    </row>
  </sheetData>
  <sheetProtection/>
  <mergeCells count="3">
    <mergeCell ref="A3:C3"/>
    <mergeCell ref="A2:C2"/>
    <mergeCell ref="A1:C1"/>
  </mergeCells>
  <printOptions horizont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32.140625" style="14" customWidth="1"/>
    <col min="2" max="2" width="13.421875" style="14" customWidth="1"/>
    <col min="3" max="3" width="15.421875" style="14" customWidth="1"/>
    <col min="4" max="4" width="14.140625" style="15" customWidth="1"/>
    <col min="5" max="16384" width="9.00390625" style="14" customWidth="1"/>
  </cols>
  <sheetData>
    <row r="1" spans="1:4" s="96" customFormat="1" ht="24.75">
      <c r="A1" s="207" t="s">
        <v>238</v>
      </c>
      <c r="B1" s="207"/>
      <c r="C1" s="207"/>
      <c r="D1" s="221"/>
    </row>
    <row r="2" spans="1:4" s="96" customFormat="1" ht="24.75">
      <c r="A2" s="207" t="s">
        <v>62</v>
      </c>
      <c r="B2" s="207"/>
      <c r="C2" s="207"/>
      <c r="D2" s="221"/>
    </row>
    <row r="3" spans="1:4" s="96" customFormat="1" ht="24.75">
      <c r="A3" s="207" t="s">
        <v>365</v>
      </c>
      <c r="B3" s="207"/>
      <c r="C3" s="207"/>
      <c r="D3" s="221"/>
    </row>
    <row r="5" ht="24.75">
      <c r="A5" s="16" t="s">
        <v>68</v>
      </c>
    </row>
    <row r="6" ht="24.75">
      <c r="A6" s="16"/>
    </row>
    <row r="7" spans="1:4" ht="24.75">
      <c r="A7" s="17" t="s">
        <v>69</v>
      </c>
      <c r="B7" s="17" t="s">
        <v>70</v>
      </c>
      <c r="C7" s="17" t="s">
        <v>71</v>
      </c>
      <c r="D7" s="35" t="s">
        <v>43</v>
      </c>
    </row>
    <row r="8" spans="1:4" ht="24.75">
      <c r="A8" s="19" t="s">
        <v>72</v>
      </c>
      <c r="B8" s="19">
        <v>2560</v>
      </c>
      <c r="C8" s="19"/>
      <c r="D8" s="18">
        <v>0</v>
      </c>
    </row>
    <row r="9" spans="1:4" ht="24.75">
      <c r="A9" s="20"/>
      <c r="B9" s="20"/>
      <c r="C9" s="20"/>
      <c r="D9" s="21">
        <v>0</v>
      </c>
    </row>
    <row r="10" spans="1:4" ht="24.75">
      <c r="A10" s="217" t="s">
        <v>60</v>
      </c>
      <c r="B10" s="218"/>
      <c r="C10" s="32"/>
      <c r="D10" s="22">
        <v>0</v>
      </c>
    </row>
    <row r="11" spans="1:4" ht="24.75">
      <c r="A11" s="19" t="s">
        <v>73</v>
      </c>
      <c r="B11" s="19">
        <v>2560</v>
      </c>
      <c r="C11" s="36">
        <v>532</v>
      </c>
      <c r="D11" s="18">
        <v>24614.73</v>
      </c>
    </row>
    <row r="12" spans="1:4" ht="24.75">
      <c r="A12" s="20"/>
      <c r="B12" s="20">
        <v>2559</v>
      </c>
      <c r="C12" s="37">
        <v>158</v>
      </c>
      <c r="D12" s="21">
        <v>7310.46</v>
      </c>
    </row>
    <row r="13" spans="1:4" ht="24.75">
      <c r="A13" s="20"/>
      <c r="B13" s="20">
        <v>2558</v>
      </c>
      <c r="C13" s="37">
        <v>103</v>
      </c>
      <c r="D13" s="21">
        <v>4886.1</v>
      </c>
    </row>
    <row r="14" spans="1:4" ht="24.75">
      <c r="A14" s="20"/>
      <c r="B14" s="20">
        <v>2557</v>
      </c>
      <c r="C14" s="37">
        <v>46</v>
      </c>
      <c r="D14" s="21">
        <v>2022.08</v>
      </c>
    </row>
    <row r="15" spans="1:4" ht="24.75">
      <c r="A15" s="20"/>
      <c r="B15" s="20">
        <v>2256</v>
      </c>
      <c r="C15" s="37">
        <v>72</v>
      </c>
      <c r="D15" s="21">
        <v>6235.34</v>
      </c>
    </row>
    <row r="16" spans="1:4" ht="24.75">
      <c r="A16" s="25"/>
      <c r="B16" s="25"/>
      <c r="C16" s="25"/>
      <c r="D16" s="38"/>
    </row>
    <row r="17" spans="1:4" ht="24.75">
      <c r="A17" s="217" t="s">
        <v>60</v>
      </c>
      <c r="B17" s="218"/>
      <c r="C17" s="25"/>
      <c r="D17" s="39">
        <f>SUM(D11:D16)</f>
        <v>45068.71000000001</v>
      </c>
    </row>
    <row r="18" spans="1:4" ht="24.75">
      <c r="A18" s="19" t="s">
        <v>74</v>
      </c>
      <c r="B18" s="19">
        <v>2560</v>
      </c>
      <c r="C18" s="19"/>
      <c r="D18" s="18">
        <v>0</v>
      </c>
    </row>
    <row r="19" spans="1:4" ht="24.75">
      <c r="A19" s="20"/>
      <c r="B19" s="21">
        <v>0</v>
      </c>
      <c r="C19" s="20"/>
      <c r="D19" s="21">
        <v>0</v>
      </c>
    </row>
    <row r="20" spans="1:4" ht="24.75">
      <c r="A20" s="217" t="s">
        <v>60</v>
      </c>
      <c r="B20" s="218"/>
      <c r="C20" s="32"/>
      <c r="D20" s="22">
        <v>0</v>
      </c>
    </row>
    <row r="21" spans="1:4" ht="25.5" thickBot="1">
      <c r="A21" s="219" t="s">
        <v>75</v>
      </c>
      <c r="B21" s="220"/>
      <c r="C21" s="40"/>
      <c r="D21" s="24">
        <f>D20+D17+D10</f>
        <v>45068.71000000001</v>
      </c>
    </row>
    <row r="22" ht="25.5" thickTop="1"/>
  </sheetData>
  <sheetProtection/>
  <mergeCells count="7">
    <mergeCell ref="A20:B20"/>
    <mergeCell ref="A21:B21"/>
    <mergeCell ref="A17:B17"/>
    <mergeCell ref="A10:B10"/>
    <mergeCell ref="A1:D1"/>
    <mergeCell ref="A2:D2"/>
    <mergeCell ref="A3:D3"/>
  </mergeCells>
  <printOptions/>
  <pageMargins left="0.99" right="0.43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H31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12.421875" style="2" customWidth="1"/>
    <col min="2" max="2" width="5.8515625" style="2" customWidth="1"/>
    <col min="3" max="3" width="37.28125" style="2" customWidth="1"/>
    <col min="4" max="4" width="12.421875" style="2" customWidth="1"/>
    <col min="5" max="5" width="18.8515625" style="4" customWidth="1"/>
    <col min="6" max="7" width="9.00390625" style="2" customWidth="1"/>
    <col min="8" max="8" width="13.421875" style="4" customWidth="1"/>
    <col min="9" max="16384" width="9.00390625" style="2" customWidth="1"/>
  </cols>
  <sheetData>
    <row r="3" spans="1:8" ht="23.25">
      <c r="A3" s="224" t="s">
        <v>234</v>
      </c>
      <c r="B3" s="225"/>
      <c r="C3" s="225"/>
      <c r="D3" s="225"/>
      <c r="E3" s="225"/>
      <c r="F3" s="225"/>
      <c r="G3" s="7"/>
      <c r="H3" s="7"/>
    </row>
    <row r="4" spans="1:8" ht="23.25">
      <c r="A4" s="224" t="s">
        <v>62</v>
      </c>
      <c r="B4" s="225"/>
      <c r="C4" s="225"/>
      <c r="D4" s="225"/>
      <c r="E4" s="225"/>
      <c r="F4" s="225"/>
      <c r="G4" s="9"/>
      <c r="H4" s="9"/>
    </row>
    <row r="5" spans="1:8" ht="23.25">
      <c r="A5" s="224" t="s">
        <v>365</v>
      </c>
      <c r="B5" s="225"/>
      <c r="C5" s="225"/>
      <c r="D5" s="225"/>
      <c r="E5" s="225"/>
      <c r="F5" s="225"/>
      <c r="G5" s="9"/>
      <c r="H5" s="9"/>
    </row>
    <row r="6" spans="1:6" ht="24.75">
      <c r="A6" s="14"/>
      <c r="B6" s="14"/>
      <c r="C6" s="14"/>
      <c r="D6" s="14"/>
      <c r="E6" s="15"/>
      <c r="F6" s="14"/>
    </row>
    <row r="7" spans="1:6" ht="24.75">
      <c r="A7" s="14"/>
      <c r="B7" s="16" t="s">
        <v>76</v>
      </c>
      <c r="C7" s="16"/>
      <c r="D7" s="16"/>
      <c r="E7" s="15"/>
      <c r="F7" s="14"/>
    </row>
    <row r="8" spans="1:6" ht="24.75">
      <c r="A8" s="14"/>
      <c r="B8" s="16"/>
      <c r="C8" s="16"/>
      <c r="D8" s="16"/>
      <c r="E8" s="15"/>
      <c r="F8" s="14"/>
    </row>
    <row r="9" spans="1:6" ht="25.5" customHeight="1">
      <c r="A9" s="14"/>
      <c r="B9" s="14"/>
      <c r="C9" s="17" t="s">
        <v>69</v>
      </c>
      <c r="D9" s="17" t="s">
        <v>70</v>
      </c>
      <c r="E9" s="35" t="s">
        <v>43</v>
      </c>
      <c r="F9" s="14"/>
    </row>
    <row r="10" spans="1:6" ht="24.75">
      <c r="A10" s="14"/>
      <c r="B10" s="14"/>
      <c r="C10" s="19" t="s">
        <v>77</v>
      </c>
      <c r="D10" s="19"/>
      <c r="E10" s="18"/>
      <c r="F10" s="14"/>
    </row>
    <row r="11" spans="1:6" ht="24.75">
      <c r="A11" s="14"/>
      <c r="B11" s="14"/>
      <c r="C11" s="20"/>
      <c r="D11" s="20"/>
      <c r="E11" s="21"/>
      <c r="F11" s="14"/>
    </row>
    <row r="12" spans="1:6" ht="24.75">
      <c r="A12" s="14"/>
      <c r="B12" s="14"/>
      <c r="C12" s="20"/>
      <c r="D12" s="25"/>
      <c r="E12" s="38"/>
      <c r="F12" s="14"/>
    </row>
    <row r="13" spans="1:8" ht="24.75">
      <c r="A13" s="14"/>
      <c r="B13" s="14"/>
      <c r="C13" s="217" t="s">
        <v>60</v>
      </c>
      <c r="D13" s="218"/>
      <c r="E13" s="23">
        <f>SUM(E10:E12)</f>
        <v>0</v>
      </c>
      <c r="F13" s="14"/>
      <c r="H13" s="8"/>
    </row>
    <row r="14" spans="1:6" ht="24.75">
      <c r="A14" s="14"/>
      <c r="B14" s="14"/>
      <c r="C14" s="19" t="s">
        <v>111</v>
      </c>
      <c r="D14" s="19"/>
      <c r="E14" s="18"/>
      <c r="F14" s="14"/>
    </row>
    <row r="15" spans="1:6" ht="24.75">
      <c r="A15" s="14"/>
      <c r="B15" s="16"/>
      <c r="C15" s="20" t="s">
        <v>112</v>
      </c>
      <c r="D15" s="20"/>
      <c r="E15" s="21"/>
      <c r="F15" s="14"/>
    </row>
    <row r="16" spans="1:6" ht="24.75">
      <c r="A16" s="14"/>
      <c r="B16" s="14"/>
      <c r="C16" s="20"/>
      <c r="D16" s="20"/>
      <c r="E16" s="38"/>
      <c r="F16" s="14"/>
    </row>
    <row r="17" spans="1:6" ht="24.75">
      <c r="A17" s="14"/>
      <c r="B17" s="14"/>
      <c r="C17" s="222" t="s">
        <v>60</v>
      </c>
      <c r="D17" s="223"/>
      <c r="E17" s="39">
        <f>SUM(E14:E16)</f>
        <v>0</v>
      </c>
      <c r="F17" s="14"/>
    </row>
    <row r="18" spans="1:6" ht="25.5" thickBot="1">
      <c r="A18" s="14"/>
      <c r="B18" s="16"/>
      <c r="C18" s="219" t="s">
        <v>75</v>
      </c>
      <c r="D18" s="220"/>
      <c r="E18" s="24">
        <f>E13+E17</f>
        <v>0</v>
      </c>
      <c r="F18" s="14"/>
    </row>
    <row r="19" spans="1:6" ht="25.5" thickTop="1">
      <c r="A19" s="14"/>
      <c r="B19" s="14"/>
      <c r="C19" s="14"/>
      <c r="D19" s="14"/>
      <c r="E19" s="15"/>
      <c r="F19" s="14"/>
    </row>
    <row r="20" spans="1:6" ht="24.75">
      <c r="A20" s="14"/>
      <c r="B20" s="16" t="s">
        <v>376</v>
      </c>
      <c r="C20" s="16"/>
      <c r="D20" s="16"/>
      <c r="E20" s="15"/>
      <c r="F20" s="14"/>
    </row>
    <row r="21" spans="1:6" ht="24.75">
      <c r="A21" s="14"/>
      <c r="B21" s="16"/>
      <c r="C21" s="16"/>
      <c r="D21" s="16"/>
      <c r="E21" s="15"/>
      <c r="F21" s="14"/>
    </row>
    <row r="22" spans="1:6" ht="25.5" customHeight="1">
      <c r="A22" s="14"/>
      <c r="B22" s="14"/>
      <c r="C22" s="17" t="s">
        <v>69</v>
      </c>
      <c r="D22" s="17" t="s">
        <v>70</v>
      </c>
      <c r="E22" s="35" t="s">
        <v>43</v>
      </c>
      <c r="F22" s="14"/>
    </row>
    <row r="23" spans="1:6" ht="24.75">
      <c r="A23" s="14"/>
      <c r="B23" s="14"/>
      <c r="C23" s="19" t="s">
        <v>10</v>
      </c>
      <c r="D23" s="36">
        <v>2560</v>
      </c>
      <c r="E23" s="18">
        <v>25518.75</v>
      </c>
      <c r="F23" s="14"/>
    </row>
    <row r="24" spans="1:6" ht="24.75">
      <c r="A24" s="14"/>
      <c r="B24" s="14"/>
      <c r="C24" s="20" t="s">
        <v>426</v>
      </c>
      <c r="D24" s="20"/>
      <c r="E24" s="21"/>
      <c r="F24" s="14"/>
    </row>
    <row r="25" spans="1:6" ht="24.75">
      <c r="A25" s="14"/>
      <c r="B25" s="14"/>
      <c r="C25" s="20" t="s">
        <v>425</v>
      </c>
      <c r="D25" s="20"/>
      <c r="E25" s="21"/>
      <c r="F25" s="14"/>
    </row>
    <row r="26" spans="1:6" ht="24.75">
      <c r="A26" s="14"/>
      <c r="B26" s="14"/>
      <c r="C26" s="20"/>
      <c r="D26" s="25"/>
      <c r="E26" s="38"/>
      <c r="F26" s="14"/>
    </row>
    <row r="27" spans="1:8" ht="24.75">
      <c r="A27" s="14"/>
      <c r="B27" s="14"/>
      <c r="C27" s="217" t="s">
        <v>60</v>
      </c>
      <c r="D27" s="218"/>
      <c r="E27" s="23">
        <f>SUM(E23:E26)</f>
        <v>25518.75</v>
      </c>
      <c r="F27" s="14"/>
      <c r="H27" s="8"/>
    </row>
    <row r="28" spans="3:4" ht="23.25">
      <c r="C28" s="3"/>
      <c r="D28" s="3"/>
    </row>
    <row r="31" spans="3:4" ht="23.25">
      <c r="C31" s="3"/>
      <c r="D31" s="3"/>
    </row>
  </sheetData>
  <sheetProtection/>
  <mergeCells count="7">
    <mergeCell ref="C27:D27"/>
    <mergeCell ref="C13:D13"/>
    <mergeCell ref="C17:D17"/>
    <mergeCell ref="C18:D18"/>
    <mergeCell ref="A3:F3"/>
    <mergeCell ref="A4:F4"/>
    <mergeCell ref="A5:F5"/>
  </mergeCells>
  <printOptions horizontalCentered="1"/>
  <pageMargins left="0" right="0" top="0" bottom="0" header="0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C1">
      <pane ySplit="7" topLeftCell="A11" activePane="bottomLeft" state="frozen"/>
      <selection pane="topLeft" activeCell="A1" sqref="A1"/>
      <selection pane="bottomLeft" activeCell="G18" sqref="G18"/>
    </sheetView>
  </sheetViews>
  <sheetFormatPr defaultColWidth="9.140625" defaultRowHeight="15"/>
  <cols>
    <col min="1" max="1" width="10.28125" style="2" customWidth="1"/>
    <col min="2" max="2" width="15.421875" style="2" customWidth="1"/>
    <col min="3" max="3" width="16.28125" style="2" customWidth="1"/>
    <col min="4" max="4" width="15.28125" style="2" customWidth="1"/>
    <col min="5" max="5" width="23.28125" style="2" customWidth="1"/>
    <col min="6" max="6" width="41.421875" style="2" customWidth="1"/>
    <col min="7" max="7" width="14.421875" style="168" customWidth="1"/>
    <col min="8" max="16384" width="9.00390625" style="2" customWidth="1"/>
  </cols>
  <sheetData>
    <row r="1" spans="1:7" ht="24.75">
      <c r="A1" s="224" t="s">
        <v>238</v>
      </c>
      <c r="B1" s="224"/>
      <c r="C1" s="224"/>
      <c r="D1" s="226"/>
      <c r="E1" s="226"/>
      <c r="F1" s="226"/>
      <c r="G1" s="226"/>
    </row>
    <row r="2" spans="1:7" ht="24.75">
      <c r="A2" s="224" t="s">
        <v>62</v>
      </c>
      <c r="B2" s="224"/>
      <c r="C2" s="224"/>
      <c r="D2" s="226"/>
      <c r="E2" s="226"/>
      <c r="F2" s="226"/>
      <c r="G2" s="226"/>
    </row>
    <row r="3" spans="1:7" ht="24.75">
      <c r="A3" s="224" t="s">
        <v>365</v>
      </c>
      <c r="B3" s="224"/>
      <c r="C3" s="224"/>
      <c r="D3" s="226"/>
      <c r="E3" s="226"/>
      <c r="F3" s="226"/>
      <c r="G3" s="226"/>
    </row>
    <row r="4" spans="1:7" ht="24.75">
      <c r="A4" s="14"/>
      <c r="B4" s="14"/>
      <c r="C4" s="14"/>
      <c r="D4" s="14"/>
      <c r="E4" s="14"/>
      <c r="F4" s="14"/>
      <c r="G4" s="165"/>
    </row>
    <row r="5" spans="1:7" ht="24.75">
      <c r="A5" s="16" t="s">
        <v>103</v>
      </c>
      <c r="B5" s="16"/>
      <c r="C5" s="14"/>
      <c r="D5" s="14"/>
      <c r="E5" s="14"/>
      <c r="F5" s="14"/>
      <c r="G5" s="165"/>
    </row>
    <row r="6" spans="1:7" ht="24.75">
      <c r="A6" s="14"/>
      <c r="B6" s="14"/>
      <c r="C6" s="14"/>
      <c r="D6" s="14"/>
      <c r="E6" s="14"/>
      <c r="F6" s="14"/>
      <c r="G6" s="165"/>
    </row>
    <row r="7" spans="1:7" ht="24.75">
      <c r="A7" s="41" t="s">
        <v>78</v>
      </c>
      <c r="B7" s="41" t="s">
        <v>79</v>
      </c>
      <c r="C7" s="41" t="s">
        <v>80</v>
      </c>
      <c r="D7" s="41" t="s">
        <v>81</v>
      </c>
      <c r="E7" s="41" t="s">
        <v>82</v>
      </c>
      <c r="F7" s="41" t="s">
        <v>83</v>
      </c>
      <c r="G7" s="166" t="s">
        <v>43</v>
      </c>
    </row>
    <row r="8" spans="1:7" ht="24.75">
      <c r="A8" s="170" t="s">
        <v>84</v>
      </c>
      <c r="B8" s="159" t="s">
        <v>90</v>
      </c>
      <c r="C8" s="159" t="s">
        <v>379</v>
      </c>
      <c r="D8" s="170" t="s">
        <v>384</v>
      </c>
      <c r="E8" s="170" t="s">
        <v>385</v>
      </c>
      <c r="F8" s="159"/>
      <c r="G8" s="167">
        <v>42311</v>
      </c>
    </row>
    <row r="9" spans="1:7" ht="24.75">
      <c r="A9" s="160"/>
      <c r="B9" s="160"/>
      <c r="C9" s="160" t="s">
        <v>380</v>
      </c>
      <c r="D9" s="160"/>
      <c r="E9" s="160"/>
      <c r="F9" s="160"/>
      <c r="G9" s="164"/>
    </row>
    <row r="10" spans="1:7" ht="24.75">
      <c r="A10" s="160" t="s">
        <v>84</v>
      </c>
      <c r="B10" s="160" t="s">
        <v>85</v>
      </c>
      <c r="C10" s="160" t="s">
        <v>85</v>
      </c>
      <c r="D10" s="160" t="s">
        <v>245</v>
      </c>
      <c r="E10" s="160" t="s">
        <v>377</v>
      </c>
      <c r="F10" s="160"/>
      <c r="G10" s="164">
        <v>32010</v>
      </c>
    </row>
    <row r="11" spans="1:9" ht="24.75">
      <c r="A11" s="160" t="s">
        <v>84</v>
      </c>
      <c r="B11" s="160" t="s">
        <v>85</v>
      </c>
      <c r="C11" s="160" t="s">
        <v>86</v>
      </c>
      <c r="D11" s="160" t="s">
        <v>245</v>
      </c>
      <c r="E11" s="160" t="s">
        <v>377</v>
      </c>
      <c r="F11" s="160"/>
      <c r="G11" s="164">
        <v>16720</v>
      </c>
      <c r="I11" s="6"/>
    </row>
    <row r="12" spans="1:7" ht="24.75">
      <c r="A12" s="160" t="s">
        <v>84</v>
      </c>
      <c r="B12" s="160" t="s">
        <v>87</v>
      </c>
      <c r="C12" s="160" t="s">
        <v>88</v>
      </c>
      <c r="D12" s="160" t="s">
        <v>245</v>
      </c>
      <c r="E12" s="160" t="s">
        <v>377</v>
      </c>
      <c r="F12" s="160"/>
      <c r="G12" s="164">
        <v>13000</v>
      </c>
    </row>
    <row r="13" spans="1:7" ht="24.75">
      <c r="A13" s="160"/>
      <c r="B13" s="160"/>
      <c r="C13" s="160" t="s">
        <v>89</v>
      </c>
      <c r="D13" s="160"/>
      <c r="E13" s="160"/>
      <c r="F13" s="160"/>
      <c r="G13" s="164"/>
    </row>
    <row r="14" spans="1:7" ht="24.75">
      <c r="A14" s="160" t="s">
        <v>84</v>
      </c>
      <c r="B14" s="160" t="s">
        <v>90</v>
      </c>
      <c r="C14" s="160" t="s">
        <v>88</v>
      </c>
      <c r="D14" s="160" t="s">
        <v>245</v>
      </c>
      <c r="E14" s="160" t="s">
        <v>377</v>
      </c>
      <c r="F14" s="160"/>
      <c r="G14" s="164">
        <v>25080</v>
      </c>
    </row>
    <row r="15" spans="1:7" ht="24.75">
      <c r="A15" s="160"/>
      <c r="B15" s="160"/>
      <c r="C15" s="160" t="s">
        <v>239</v>
      </c>
      <c r="D15" s="160"/>
      <c r="E15" s="160"/>
      <c r="F15" s="160"/>
      <c r="G15" s="164"/>
    </row>
    <row r="16" spans="1:7" ht="24.75">
      <c r="A16" s="160" t="s">
        <v>84</v>
      </c>
      <c r="B16" s="160" t="s">
        <v>90</v>
      </c>
      <c r="C16" s="160" t="s">
        <v>379</v>
      </c>
      <c r="D16" s="160" t="s">
        <v>91</v>
      </c>
      <c r="E16" s="160" t="s">
        <v>381</v>
      </c>
      <c r="F16" s="160"/>
      <c r="G16" s="164">
        <v>65773.68</v>
      </c>
    </row>
    <row r="17" spans="1:7" ht="24.75">
      <c r="A17" s="160"/>
      <c r="B17" s="160"/>
      <c r="C17" s="160" t="s">
        <v>380</v>
      </c>
      <c r="D17" s="160"/>
      <c r="E17" s="160"/>
      <c r="F17" s="160"/>
      <c r="G17" s="164"/>
    </row>
    <row r="18" spans="1:7" ht="24.75">
      <c r="A18" s="160" t="s">
        <v>84</v>
      </c>
      <c r="B18" s="160" t="s">
        <v>240</v>
      </c>
      <c r="C18" s="160" t="s">
        <v>242</v>
      </c>
      <c r="D18" s="160" t="s">
        <v>92</v>
      </c>
      <c r="E18" s="160" t="s">
        <v>382</v>
      </c>
      <c r="F18" s="160" t="s">
        <v>383</v>
      </c>
      <c r="G18" s="164">
        <v>50000</v>
      </c>
    </row>
    <row r="19" spans="1:7" ht="24.75">
      <c r="A19" s="162"/>
      <c r="B19" s="162" t="s">
        <v>241</v>
      </c>
      <c r="C19" s="162" t="s">
        <v>243</v>
      </c>
      <c r="D19" s="162"/>
      <c r="E19" s="162"/>
      <c r="F19" s="160"/>
      <c r="G19" s="164"/>
    </row>
    <row r="20" spans="1:7" ht="24.75">
      <c r="A20" s="160" t="s">
        <v>84</v>
      </c>
      <c r="B20" s="160" t="s">
        <v>85</v>
      </c>
      <c r="C20" s="160" t="s">
        <v>85</v>
      </c>
      <c r="D20" s="163" t="s">
        <v>109</v>
      </c>
      <c r="E20" s="160" t="s">
        <v>377</v>
      </c>
      <c r="F20" s="161" t="s">
        <v>378</v>
      </c>
      <c r="G20" s="164">
        <v>27000</v>
      </c>
    </row>
    <row r="21" spans="1:7" ht="25.5" thickBot="1">
      <c r="A21" s="227" t="s">
        <v>60</v>
      </c>
      <c r="B21" s="227"/>
      <c r="C21" s="227"/>
      <c r="D21" s="227"/>
      <c r="E21" s="227"/>
      <c r="F21" s="227"/>
      <c r="G21" s="169">
        <f>SUM(G8:G20)</f>
        <v>271894.68</v>
      </c>
    </row>
    <row r="22" spans="1:7" ht="25.5" thickTop="1">
      <c r="A22" s="14"/>
      <c r="B22" s="14"/>
      <c r="C22" s="14"/>
      <c r="D22" s="14"/>
      <c r="E22" s="14"/>
      <c r="F22" s="14"/>
      <c r="G22" s="165"/>
    </row>
  </sheetData>
  <sheetProtection/>
  <mergeCells count="4">
    <mergeCell ref="A1:G1"/>
    <mergeCell ref="A2:G2"/>
    <mergeCell ref="A3:G3"/>
    <mergeCell ref="A21:F21"/>
  </mergeCells>
  <printOptions horizontalCentered="1"/>
  <pageMargins left="0" right="0" top="0.3" bottom="0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F12" sqref="F12"/>
    </sheetView>
  </sheetViews>
  <sheetFormatPr defaultColWidth="9.140625" defaultRowHeight="15"/>
  <cols>
    <col min="1" max="2" width="9.00390625" style="2" customWidth="1"/>
    <col min="3" max="3" width="47.421875" style="2" customWidth="1"/>
    <col min="4" max="4" width="18.57421875" style="2" customWidth="1"/>
    <col min="5" max="16384" width="9.00390625" style="2" customWidth="1"/>
  </cols>
  <sheetData>
    <row r="1" spans="1:9" ht="23.25" customHeight="1">
      <c r="A1" s="14"/>
      <c r="B1" s="216" t="s">
        <v>234</v>
      </c>
      <c r="C1" s="216"/>
      <c r="D1" s="216"/>
      <c r="E1" s="5"/>
      <c r="F1" s="229"/>
      <c r="G1" s="229"/>
      <c r="H1" s="229"/>
      <c r="I1" s="230"/>
    </row>
    <row r="2" spans="1:9" ht="23.25" customHeight="1">
      <c r="A2" s="14"/>
      <c r="B2" s="216" t="s">
        <v>62</v>
      </c>
      <c r="C2" s="216"/>
      <c r="D2" s="216"/>
      <c r="E2" s="5"/>
      <c r="F2" s="229"/>
      <c r="G2" s="229"/>
      <c r="H2" s="229"/>
      <c r="I2" s="230"/>
    </row>
    <row r="3" spans="1:9" ht="23.25" customHeight="1">
      <c r="A3" s="14"/>
      <c r="B3" s="216" t="s">
        <v>365</v>
      </c>
      <c r="C3" s="216"/>
      <c r="D3" s="216"/>
      <c r="E3" s="5"/>
      <c r="F3" s="229"/>
      <c r="G3" s="229"/>
      <c r="H3" s="229"/>
      <c r="I3" s="230"/>
    </row>
    <row r="4" spans="1:9" ht="23.25" customHeight="1">
      <c r="A4" s="14"/>
      <c r="B4" s="228" t="s">
        <v>104</v>
      </c>
      <c r="C4" s="228"/>
      <c r="D4" s="13"/>
      <c r="E4" s="5"/>
      <c r="F4" s="1"/>
      <c r="G4" s="1"/>
      <c r="H4" s="1"/>
      <c r="I4" s="5"/>
    </row>
    <row r="5" spans="1:4" ht="24.75">
      <c r="A5" s="14"/>
      <c r="B5" s="14"/>
      <c r="C5" s="14"/>
      <c r="D5" s="14"/>
    </row>
    <row r="6" spans="1:4" ht="24.75">
      <c r="A6" s="14"/>
      <c r="B6" s="26" t="s">
        <v>63</v>
      </c>
      <c r="C6" s="26" t="s">
        <v>64</v>
      </c>
      <c r="D6" s="26" t="s">
        <v>65</v>
      </c>
    </row>
    <row r="7" spans="1:4" ht="24.75">
      <c r="A7" s="14"/>
      <c r="B7" s="26">
        <v>1</v>
      </c>
      <c r="C7" s="83" t="s">
        <v>397</v>
      </c>
      <c r="D7" s="33">
        <v>15979.27</v>
      </c>
    </row>
    <row r="8" spans="1:4" ht="24.75">
      <c r="A8" s="14"/>
      <c r="B8" s="27">
        <v>2</v>
      </c>
      <c r="C8" s="28" t="s">
        <v>93</v>
      </c>
      <c r="D8" s="33">
        <v>538720</v>
      </c>
    </row>
    <row r="9" spans="1:4" ht="24.75">
      <c r="A9" s="14"/>
      <c r="B9" s="27">
        <v>3</v>
      </c>
      <c r="C9" s="28" t="s">
        <v>236</v>
      </c>
      <c r="D9" s="33">
        <v>56846.7</v>
      </c>
    </row>
    <row r="10" spans="1:4" ht="24.75">
      <c r="A10" s="14"/>
      <c r="B10" s="27">
        <v>4</v>
      </c>
      <c r="C10" s="28" t="s">
        <v>235</v>
      </c>
      <c r="D10" s="33">
        <v>42025.55</v>
      </c>
    </row>
    <row r="11" spans="1:4" ht="24.75">
      <c r="A11" s="14"/>
      <c r="B11" s="27">
        <v>5</v>
      </c>
      <c r="C11" s="28" t="s">
        <v>237</v>
      </c>
      <c r="D11" s="33">
        <v>1771362.85</v>
      </c>
    </row>
    <row r="12" spans="1:4" ht="24.75">
      <c r="A12" s="14"/>
      <c r="B12" s="27">
        <v>6</v>
      </c>
      <c r="C12" s="28" t="s">
        <v>428</v>
      </c>
      <c r="D12" s="33">
        <v>32500</v>
      </c>
    </row>
    <row r="13" spans="1:4" ht="24.75">
      <c r="A13" s="14"/>
      <c r="B13" s="27"/>
      <c r="C13" s="28"/>
      <c r="D13" s="200"/>
    </row>
    <row r="14" spans="1:4" ht="24.75">
      <c r="A14" s="14"/>
      <c r="B14" s="28"/>
      <c r="C14" s="26" t="s">
        <v>66</v>
      </c>
      <c r="D14" s="31">
        <f>SUM(D7:D13)</f>
        <v>2457434.37</v>
      </c>
    </row>
    <row r="15" spans="1:4" ht="24.75">
      <c r="A15" s="14"/>
      <c r="B15" s="14"/>
      <c r="C15" s="14"/>
      <c r="D15" s="14"/>
    </row>
    <row r="18" spans="1:9" ht="23.25" customHeight="1">
      <c r="A18" s="14"/>
      <c r="B18" s="228" t="s">
        <v>421</v>
      </c>
      <c r="C18" s="228"/>
      <c r="D18" s="13"/>
      <c r="E18" s="196"/>
      <c r="F18" s="1"/>
      <c r="G18" s="1"/>
      <c r="H18" s="1"/>
      <c r="I18" s="196"/>
    </row>
    <row r="19" spans="1:4" ht="24.75">
      <c r="A19" s="14"/>
      <c r="B19" s="14"/>
      <c r="C19" s="14"/>
      <c r="D19" s="14"/>
    </row>
    <row r="20" spans="1:4" ht="24.75">
      <c r="A20" s="14"/>
      <c r="B20" s="26" t="s">
        <v>63</v>
      </c>
      <c r="C20" s="26" t="s">
        <v>64</v>
      </c>
      <c r="D20" s="26" t="s">
        <v>65</v>
      </c>
    </row>
    <row r="21" spans="1:4" ht="24.75">
      <c r="A21" s="14"/>
      <c r="B21" s="27">
        <v>1</v>
      </c>
      <c r="C21" s="28" t="s">
        <v>420</v>
      </c>
      <c r="D21" s="200">
        <v>39041</v>
      </c>
    </row>
    <row r="22" spans="1:4" ht="24.75">
      <c r="A22" s="14"/>
      <c r="B22" s="198"/>
      <c r="C22" s="199"/>
      <c r="D22" s="200"/>
    </row>
    <row r="23" spans="1:4" ht="24.75">
      <c r="A23" s="14"/>
      <c r="B23" s="28"/>
      <c r="C23" s="26" t="s">
        <v>66</v>
      </c>
      <c r="D23" s="31">
        <f>SUM(D21:D22)</f>
        <v>39041</v>
      </c>
    </row>
    <row r="24" spans="1:4" ht="24.75">
      <c r="A24" s="14"/>
      <c r="B24" s="14"/>
      <c r="C24" s="14"/>
      <c r="D24" s="14"/>
    </row>
  </sheetData>
  <sheetProtection/>
  <mergeCells count="8">
    <mergeCell ref="B18:C18"/>
    <mergeCell ref="B2:D2"/>
    <mergeCell ref="B3:D3"/>
    <mergeCell ref="B4:C4"/>
    <mergeCell ref="F1:I1"/>
    <mergeCell ref="F2:I2"/>
    <mergeCell ref="F3:I3"/>
    <mergeCell ref="B1:D1"/>
  </mergeCells>
  <printOptions/>
  <pageMargins left="0.7" right="0.52" top="0.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Mr.KKD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2017-10-27T06:59:29Z</cp:lastPrinted>
  <dcterms:created xsi:type="dcterms:W3CDTF">2016-03-10T07:18:54Z</dcterms:created>
  <dcterms:modified xsi:type="dcterms:W3CDTF">2017-11-02T03:42:16Z</dcterms:modified>
  <cp:category/>
  <cp:version/>
  <cp:contentType/>
  <cp:contentStatus/>
</cp:coreProperties>
</file>